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85" windowWidth="8880" windowHeight="3675" activeTab="4"/>
  </bookViews>
  <sheets>
    <sheet name="F-1" sheetId="1" r:id="rId1"/>
    <sheet name="F-2" sheetId="2" r:id="rId2"/>
    <sheet name="F-3" sheetId="3" r:id="rId3"/>
    <sheet name="F-4" sheetId="4" r:id="rId4"/>
    <sheet name="F-5" sheetId="5" r:id="rId5"/>
    <sheet name="F-6" sheetId="6" r:id="rId6"/>
    <sheet name="F-7" sheetId="7" r:id="rId7"/>
    <sheet name="F-8" sheetId="8" r:id="rId8"/>
    <sheet name="F-9" sheetId="9" r:id="rId9"/>
    <sheet name="F-10" sheetId="10" r:id="rId10"/>
  </sheets>
  <definedNames>
    <definedName name="\D" localSheetId="9">'F-10'!#REF!</definedName>
    <definedName name="\D" localSheetId="1">'F-2'!#REF!</definedName>
    <definedName name="\D" localSheetId="2">'F-3'!#REF!</definedName>
    <definedName name="\D" localSheetId="3">'F-4'!#REF!</definedName>
    <definedName name="\D" localSheetId="4">'F-5'!#REF!</definedName>
    <definedName name="\D" localSheetId="5">'F-6'!#REF!</definedName>
    <definedName name="\D" localSheetId="6">'F-7'!#REF!</definedName>
    <definedName name="\D" localSheetId="7">'F-8'!#REF!</definedName>
    <definedName name="\D" localSheetId="8">'F-9'!#REF!</definedName>
    <definedName name="\D">'F-1'!#REF!</definedName>
    <definedName name="\G" localSheetId="9">'F-10'!#REF!</definedName>
    <definedName name="\G" localSheetId="1">'F-2'!#REF!</definedName>
    <definedName name="\G" localSheetId="2">'F-3'!#REF!</definedName>
    <definedName name="\G" localSheetId="3">'F-4'!#REF!</definedName>
    <definedName name="\G" localSheetId="4">'F-5'!#REF!</definedName>
    <definedName name="\G" localSheetId="5">'F-6'!#REF!</definedName>
    <definedName name="\G" localSheetId="6">'F-7'!#REF!</definedName>
    <definedName name="\G" localSheetId="7">'F-8'!#REF!</definedName>
    <definedName name="\G" localSheetId="8">'F-9'!#REF!</definedName>
    <definedName name="\G">'F-1'!#REF!</definedName>
    <definedName name="\P" localSheetId="9">'F-10'!#REF!</definedName>
    <definedName name="\P" localSheetId="1">'F-2'!#REF!</definedName>
    <definedName name="\P" localSheetId="2">'F-3'!#REF!</definedName>
    <definedName name="\P" localSheetId="3">'F-4'!#REF!</definedName>
    <definedName name="\P" localSheetId="4">'F-5'!#REF!</definedName>
    <definedName name="\P" localSheetId="5">'F-6'!#REF!</definedName>
    <definedName name="\P" localSheetId="6">'F-7'!#REF!</definedName>
    <definedName name="\P" localSheetId="7">'F-8'!#REF!</definedName>
    <definedName name="\P" localSheetId="8">'F-9'!#REF!</definedName>
    <definedName name="\P">'F-1'!#REF!</definedName>
    <definedName name="\S" localSheetId="9">'F-10'!#REF!</definedName>
    <definedName name="\S" localSheetId="1">'F-2'!#REF!</definedName>
    <definedName name="\S" localSheetId="2">'F-3'!#REF!</definedName>
    <definedName name="\S" localSheetId="3">'F-4'!#REF!</definedName>
    <definedName name="\S" localSheetId="4">'F-5'!#REF!</definedName>
    <definedName name="\S" localSheetId="5">'F-6'!#REF!</definedName>
    <definedName name="\S" localSheetId="6">'F-7'!#REF!</definedName>
    <definedName name="\S" localSheetId="7">'F-8'!#REF!</definedName>
    <definedName name="\S" localSheetId="8">'F-9'!#REF!</definedName>
    <definedName name="\S">'F-1'!#REF!</definedName>
    <definedName name="DIR" localSheetId="9">'F-10'!#REF!</definedName>
    <definedName name="DIR" localSheetId="1">'F-2'!#REF!</definedName>
    <definedName name="DIR" localSheetId="2">'F-3'!#REF!</definedName>
    <definedName name="DIR" localSheetId="3">'F-4'!#REF!</definedName>
    <definedName name="DIR" localSheetId="4">'F-5'!#REF!</definedName>
    <definedName name="DIR" localSheetId="5">'F-6'!#REF!</definedName>
    <definedName name="DIR" localSheetId="6">'F-7'!#REF!</definedName>
    <definedName name="DIR" localSheetId="7">'F-8'!#REF!</definedName>
    <definedName name="DIR" localSheetId="8">'F-9'!#REF!</definedName>
    <definedName name="DIR">'F-1'!#REF!</definedName>
    <definedName name="ERC_S" localSheetId="9">'F-10'!$A$1:$O$40</definedName>
    <definedName name="ERC_S" localSheetId="1">'F-2'!#REF!</definedName>
    <definedName name="ERC_S" localSheetId="2">'F-3'!#REF!</definedName>
    <definedName name="ERC_S" localSheetId="3">'F-4'!#REF!</definedName>
    <definedName name="ERC_S" localSheetId="4">'F-5'!#REF!</definedName>
    <definedName name="ERC_S" localSheetId="5">'F-6'!$J$2:$J$21</definedName>
    <definedName name="ERC_S" localSheetId="6">'F-7'!#REF!</definedName>
    <definedName name="ERC_S" localSheetId="7">'F-8'!#REF!</definedName>
    <definedName name="ERC_S" localSheetId="8">'F-9'!#REF!</definedName>
    <definedName name="ERC_S">'F-1'!#REF!</definedName>
    <definedName name="ERC_W" localSheetId="9">'F-10'!#REF!</definedName>
    <definedName name="ERC_W" localSheetId="1">'F-2'!#REF!</definedName>
    <definedName name="ERC_W" localSheetId="2">'F-3'!#REF!</definedName>
    <definedName name="ERC_W" localSheetId="3">'F-4'!#REF!</definedName>
    <definedName name="ERC_W" localSheetId="4">'F-5'!#REF!</definedName>
    <definedName name="ERC_W" localSheetId="5">'F-6'!#REF!</definedName>
    <definedName name="ERC_W" localSheetId="6">'F-7'!#REF!</definedName>
    <definedName name="ERC_W" localSheetId="7">'F-8'!#REF!</definedName>
    <definedName name="ERC_W" localSheetId="8">'F-9'!$A$1:$S$28</definedName>
    <definedName name="ERC_W">'F-1'!#REF!</definedName>
    <definedName name="F_1">'F-1'!$A$1:$O$53</definedName>
    <definedName name="F_10">'F-10'!$A$1:$T$54</definedName>
    <definedName name="F_2">'F-2'!$A$1:$O$49</definedName>
    <definedName name="F_3">'F-3'!$A$1:$L$49</definedName>
    <definedName name="F_4">'F-4'!$A$1:$M$49</definedName>
    <definedName name="F_5">'F-5'!$A$1:$L$66</definedName>
    <definedName name="F_6">'F-6'!$A$1:$M$54</definedName>
    <definedName name="F_7">'F-7'!$A$1:$K$49</definedName>
    <definedName name="F_8">'F-8'!$A$1:$L$52</definedName>
    <definedName name="F_9">'F-9'!$A$1:$T$53</definedName>
    <definedName name="MARGIN" localSheetId="9">'F-10'!#REF!</definedName>
    <definedName name="MARGIN" localSheetId="1">'F-2'!#REF!</definedName>
    <definedName name="MARGIN" localSheetId="2">'F-3'!#REF!</definedName>
    <definedName name="MARGIN" localSheetId="3">'F-4'!#REF!</definedName>
    <definedName name="MARGIN" localSheetId="4">'F-5'!$A$53:$K$64</definedName>
    <definedName name="MARGIN" localSheetId="5">'F-6'!$A$1:$I$18</definedName>
    <definedName name="MARGIN" localSheetId="6">'F-7'!#REF!</definedName>
    <definedName name="MARGIN" localSheetId="7">'F-8'!#REF!</definedName>
    <definedName name="MARGIN" localSheetId="8">'F-9'!#REF!</definedName>
    <definedName name="MARGIN">'F-1'!#REF!</definedName>
    <definedName name="pri0061" localSheetId="9">'F-10'!#REF!</definedName>
    <definedName name="pri0061" localSheetId="1">'F-2'!#REF!</definedName>
    <definedName name="pri0061" localSheetId="2">'F-3'!#REF!</definedName>
    <definedName name="pri0061" localSheetId="3">'F-4'!#REF!</definedName>
    <definedName name="pri0061" localSheetId="4">'F-5'!#REF!</definedName>
    <definedName name="pri0061" localSheetId="5">'F-6'!#REF!</definedName>
    <definedName name="pri0061" localSheetId="6">'F-7'!#REF!</definedName>
    <definedName name="pri0061" localSheetId="7">'F-8'!#REF!</definedName>
    <definedName name="pri0061" localSheetId="8">'F-9'!#REF!</definedName>
    <definedName name="pri0061">'F-1'!$A$1:$M$65</definedName>
    <definedName name="pri0062" localSheetId="9">'F-10'!#REF!</definedName>
    <definedName name="pri0062" localSheetId="1">'F-2'!$A$1:$M$61</definedName>
    <definedName name="pri0062" localSheetId="2">'F-3'!#REF!</definedName>
    <definedName name="pri0062" localSheetId="3">'F-4'!#REF!</definedName>
    <definedName name="pri0062" localSheetId="4">'F-5'!#REF!</definedName>
    <definedName name="pri0062" localSheetId="5">'F-6'!#REF!</definedName>
    <definedName name="pri0062" localSheetId="6">'F-7'!#REF!</definedName>
    <definedName name="pri0062" localSheetId="7">'F-8'!#REF!</definedName>
    <definedName name="pri0062" localSheetId="8">'F-9'!#REF!</definedName>
    <definedName name="pri0062">'F-1'!#REF!</definedName>
    <definedName name="pri0065" localSheetId="9">'F-10'!#REF!</definedName>
    <definedName name="pri0065" localSheetId="1">'F-2'!#REF!</definedName>
    <definedName name="pri0065" localSheetId="2">'F-3'!#REF!</definedName>
    <definedName name="pri0065" localSheetId="3">'F-4'!#REF!</definedName>
    <definedName name="pri0065" localSheetId="4">'F-5'!$A$1:$J$64</definedName>
    <definedName name="pri0065" localSheetId="5">'F-6'!#REF!</definedName>
    <definedName name="pri0065" localSheetId="6">'F-7'!#REF!</definedName>
    <definedName name="pri0065" localSheetId="7">'F-8'!#REF!</definedName>
    <definedName name="pri0065" localSheetId="8">'F-9'!#REF!</definedName>
    <definedName name="pri0065">'F-1'!#REF!</definedName>
    <definedName name="pri0066" localSheetId="9">'F-10'!#REF!</definedName>
    <definedName name="pri0066" localSheetId="1">'F-2'!#REF!</definedName>
    <definedName name="pri0066" localSheetId="2">'F-3'!#REF!</definedName>
    <definedName name="pri0066" localSheetId="3">'F-4'!#REF!</definedName>
    <definedName name="pri0066" localSheetId="4">'F-5'!#REF!</definedName>
    <definedName name="pri0066" localSheetId="5">'F-6'!$A$1:$H$44</definedName>
    <definedName name="pri0066" localSheetId="6">'F-7'!#REF!</definedName>
    <definedName name="pri0066" localSheetId="7">'F-8'!#REF!</definedName>
    <definedName name="pri0066" localSheetId="8">'F-9'!#REF!</definedName>
    <definedName name="pri0066">'F-1'!#REF!</definedName>
    <definedName name="pri0067" localSheetId="9">'F-10'!#REF!</definedName>
    <definedName name="pri0067" localSheetId="1">'F-2'!#REF!</definedName>
    <definedName name="pri0067" localSheetId="2">'F-3'!#REF!</definedName>
    <definedName name="pri0067" localSheetId="3">'F-4'!#REF!</definedName>
    <definedName name="pri0067" localSheetId="4">'F-5'!$A$65:$J$106</definedName>
    <definedName name="pri0067" localSheetId="5">'F-6'!#REF!</definedName>
    <definedName name="pri0067" localSheetId="6">'F-7'!#REF!</definedName>
    <definedName name="pri0067" localSheetId="7">'F-8'!$A$1:$J$71</definedName>
    <definedName name="pri0067" localSheetId="8">'F-9'!#REF!</definedName>
    <definedName name="pri0067">'F-1'!#REF!</definedName>
    <definedName name="pri0068" localSheetId="9">'F-10'!#REF!</definedName>
    <definedName name="pri0068" localSheetId="1">'F-2'!#REF!</definedName>
    <definedName name="pri0068" localSheetId="2">'F-3'!#REF!</definedName>
    <definedName name="pri0068" localSheetId="3">'F-4'!#REF!</definedName>
    <definedName name="pri0068" localSheetId="4">'F-5'!$A$65:$J$106</definedName>
    <definedName name="pri0068" localSheetId="5">'F-6'!#REF!</definedName>
    <definedName name="pri0068" localSheetId="6">'F-7'!#REF!</definedName>
    <definedName name="pri0068" localSheetId="7">'F-8'!$A$1:$J$71</definedName>
    <definedName name="pri0068" localSheetId="8">'F-9'!#REF!</definedName>
    <definedName name="pri0068">'F-1'!#REF!</definedName>
    <definedName name="_xlnm.Print_Area" localSheetId="0">'F-1'!$A$1:$N$51</definedName>
    <definedName name="_xlnm.Print_Area" localSheetId="9">'F-10'!$A$1:$T$54</definedName>
    <definedName name="_xlnm.Print_Area" localSheetId="1">'F-2'!$A$1:$O$49</definedName>
    <definedName name="_xlnm.Print_Area" localSheetId="2">'F-3'!$A$1:$L$49</definedName>
    <definedName name="_xlnm.Print_Area" localSheetId="3">'F-4'!$A$1:$M$49</definedName>
    <definedName name="_xlnm.Print_Area" localSheetId="4">'F-5'!$A$1:$L$66</definedName>
    <definedName name="_xlnm.Print_Area" localSheetId="5">'F-6'!$A$1:$M$54</definedName>
    <definedName name="_xlnm.Print_Area" localSheetId="6">'F-7'!$A$1:$K$33</definedName>
    <definedName name="_xlnm.Print_Area" localSheetId="7">'F-8'!$A$1:$L$52</definedName>
    <definedName name="_xlnm.Print_Area" localSheetId="8">'F-9'!$A$1:$S$43</definedName>
    <definedName name="PUMPED" localSheetId="9">'F-10'!#REF!</definedName>
    <definedName name="PUMPED" localSheetId="1">'F-2'!#REF!</definedName>
    <definedName name="PUMPED" localSheetId="2">'F-3'!#REF!</definedName>
    <definedName name="PUMPED" localSheetId="3">'F-4'!#REF!</definedName>
    <definedName name="PUMPED" localSheetId="4">'F-5'!#REF!</definedName>
    <definedName name="PUMPED" localSheetId="5">'F-6'!#REF!</definedName>
    <definedName name="PUMPED" localSheetId="6">'F-7'!#REF!</definedName>
    <definedName name="PUMPED" localSheetId="7">'F-8'!#REF!</definedName>
    <definedName name="PUMPED" localSheetId="8">'F-9'!#REF!</definedName>
    <definedName name="PUMPED">'F-1'!$A$1:$M$34</definedName>
    <definedName name="S_STATS" localSheetId="9">'F-10'!#REF!</definedName>
    <definedName name="S_STATS" localSheetId="1">'F-2'!#REF!</definedName>
    <definedName name="S_STATS" localSheetId="2">'F-3'!#REF!</definedName>
    <definedName name="S_STATS" localSheetId="3">'F-4'!$A$1:$M$29</definedName>
    <definedName name="S_STATS" localSheetId="4">'F-5'!#REF!</definedName>
    <definedName name="S_STATS" localSheetId="5">'F-6'!#REF!</definedName>
    <definedName name="S_STATS" localSheetId="6">'F-7'!#REF!</definedName>
    <definedName name="S_STATS" localSheetId="7">'F-8'!#REF!</definedName>
    <definedName name="S_STATS" localSheetId="8">'F-9'!#REF!</definedName>
    <definedName name="S_STATS">'F-1'!#REF!</definedName>
    <definedName name="TREATED" localSheetId="9">'F-10'!#REF!</definedName>
    <definedName name="TREATED" localSheetId="1">'F-2'!$A$1:$M$32</definedName>
    <definedName name="TREATED" localSheetId="2">'F-3'!#REF!</definedName>
    <definedName name="TREATED" localSheetId="3">'F-4'!#REF!</definedName>
    <definedName name="TREATED" localSheetId="4">'F-5'!#REF!</definedName>
    <definedName name="TREATED" localSheetId="5">'F-6'!#REF!</definedName>
    <definedName name="TREATED" localSheetId="6">'F-7'!#REF!</definedName>
    <definedName name="TREATED" localSheetId="7">'F-8'!#REF!</definedName>
    <definedName name="TREATED" localSheetId="8">'F-9'!#REF!</definedName>
    <definedName name="TREATED">'F-1'!$A$41:$M$65</definedName>
    <definedName name="U_U_MAINS" localSheetId="9">'F-10'!#REF!</definedName>
    <definedName name="U_U_MAINS" localSheetId="1">'F-2'!#REF!</definedName>
    <definedName name="U_U_MAINS" localSheetId="2">'F-3'!#REF!</definedName>
    <definedName name="U_U_MAINS" localSheetId="3">'F-4'!#REF!</definedName>
    <definedName name="U_U_MAINS" localSheetId="4">'F-5'!$A$31:$K$50</definedName>
    <definedName name="U_U_MAINS" localSheetId="5">'F-6'!#REF!</definedName>
    <definedName name="U_U_MAINS" localSheetId="6">'F-7'!#REF!</definedName>
    <definedName name="U_U_MAINS" localSheetId="7">'F-8'!#REF!</definedName>
    <definedName name="U_U_MAINS" localSheetId="8">'F-9'!#REF!</definedName>
    <definedName name="U_U_MAINS">'F-1'!#REF!</definedName>
    <definedName name="U_U_SEWER" localSheetId="9">'F-10'!#REF!</definedName>
    <definedName name="U_U_SEWER" localSheetId="1">'F-2'!#REF!</definedName>
    <definedName name="U_U_SEWER" localSheetId="2">'F-3'!#REF!</definedName>
    <definedName name="U_U_SEWER" localSheetId="3">'F-4'!#REF!</definedName>
    <definedName name="U_U_SEWER" localSheetId="4">'F-5'!$A$15:$K$29</definedName>
    <definedName name="U_U_SEWER" localSheetId="5">'F-6'!#REF!</definedName>
    <definedName name="U_U_SEWER" localSheetId="6">'F-7'!#REF!</definedName>
    <definedName name="U_U_SEWER" localSheetId="7">'F-8'!#REF!</definedName>
    <definedName name="U_U_SEWER" localSheetId="8">'F-9'!#REF!</definedName>
    <definedName name="U_U_SEWER">'F-1'!#REF!</definedName>
    <definedName name="U_U_WATER" localSheetId="9">'F-10'!#REF!</definedName>
    <definedName name="U_U_WATER" localSheetId="1">'F-2'!#REF!</definedName>
    <definedName name="U_U_WATER" localSheetId="2">'F-3'!#REF!</definedName>
    <definedName name="U_U_WATER" localSheetId="3">'F-4'!#REF!</definedName>
    <definedName name="U_U_WATER" localSheetId="4">'F-5'!$A$1:$K$13</definedName>
    <definedName name="U_U_WATER" localSheetId="5">'F-6'!#REF!</definedName>
    <definedName name="U_U_WATER" localSheetId="6">'F-7'!#REF!</definedName>
    <definedName name="U_U_WATER" localSheetId="7">'F-8'!#REF!</definedName>
    <definedName name="U_U_WATER" localSheetId="8">'F-9'!#REF!</definedName>
    <definedName name="U_U_WATER">'F-1'!#REF!</definedName>
    <definedName name="W_STATS" localSheetId="9">'F-10'!#REF!</definedName>
    <definedName name="W_STATS" localSheetId="1">'F-2'!#REF!</definedName>
    <definedName name="W_STATS" localSheetId="2">'F-3'!$A$1:$M$52</definedName>
    <definedName name="W_STATS" localSheetId="3">'F-4'!#REF!</definedName>
    <definedName name="W_STATS" localSheetId="4">'F-5'!#REF!</definedName>
    <definedName name="W_STATS" localSheetId="5">'F-6'!#REF!</definedName>
    <definedName name="W_STATS" localSheetId="6">'F-7'!#REF!</definedName>
    <definedName name="W_STATS" localSheetId="7">'F-8'!#REF!</definedName>
    <definedName name="W_STATS" localSheetId="8">'F-9'!#REF!</definedName>
    <definedName name="W_STATS">'F-1'!#REF!</definedName>
  </definedNames>
  <calcPr fullCalcOnLoad="1"/>
</workbook>
</file>

<file path=xl/sharedStrings.xml><?xml version="1.0" encoding="utf-8"?>
<sst xmlns="http://schemas.openxmlformats.org/spreadsheetml/2006/main" count="541" uniqueCount="269">
  <si>
    <t xml:space="preserve">The hydraulic rated capacity.  If different from that shown </t>
  </si>
  <si>
    <t>Maximum Day</t>
  </si>
  <si>
    <t xml:space="preserve">The single day with the highest pumpage rate for the test year.  </t>
  </si>
  <si>
    <t>Five Day Max. Year</t>
  </si>
  <si>
    <t xml:space="preserve">The five days with the highest pumpage rate from any one month </t>
  </si>
  <si>
    <t>Required Fire Flow</t>
  </si>
  <si>
    <t>Wastewater Treatment Plant Data</t>
  </si>
  <si>
    <t>Schedule F-4</t>
  </si>
  <si>
    <t xml:space="preserve">Explanation:  Provide the following information for each wastewater treatment plant.  All flow data must be obtained </t>
  </si>
  <si>
    <t>MONTH</t>
  </si>
  <si>
    <t>1.</t>
  </si>
  <si>
    <t>The hydraulic rated capacity.  If different from that shown</t>
  </si>
  <si>
    <t>on the DER operating or construction permit, provide an explanation.</t>
  </si>
  <si>
    <t>2.</t>
  </si>
  <si>
    <t>Average Daily Flow Max Month   (a)</t>
  </si>
  <si>
    <t>An average of the daily flows during the peak usage month</t>
  </si>
  <si>
    <t>during the test year.  Explain, on a separate page, if this</t>
  </si>
  <si>
    <t xml:space="preserve">peak-month was influenced by abnormal infiltration due to </t>
  </si>
  <si>
    <t>rainfall periods.</t>
  </si>
  <si>
    <t>Used and Useful Calculations</t>
  </si>
  <si>
    <t xml:space="preserve">Water Treatment Plant </t>
  </si>
  <si>
    <t>Schedule F-5</t>
  </si>
  <si>
    <t>Explanation:  Provide all calculations, analyses and governmental requirements  used to determine</t>
  </si>
  <si>
    <t xml:space="preserve">the used and useful percentages for the water treatment plant(s) for the historical test year and </t>
  </si>
  <si>
    <t>the projected test year (if applicable).</t>
  </si>
  <si>
    <t>Equivalent Residential Connections - Water</t>
  </si>
  <si>
    <t>Schedule F-9</t>
  </si>
  <si>
    <t>Explanation:  Provide the following information in order to calculate the average growth in ERCs for the last</t>
  </si>
  <si>
    <t>five years, including the test year.  If the utility does not have single-family residential (SFR) customers,</t>
  </si>
  <si>
    <t>the largest customer class should be used as a substitute.</t>
  </si>
  <si>
    <t>Equivalent Residential Connections - Wastewater</t>
  </si>
  <si>
    <t>Schedule F-10</t>
  </si>
  <si>
    <t>Line</t>
  </si>
  <si>
    <t>No.</t>
  </si>
  <si>
    <t>SFR Customers</t>
  </si>
  <si>
    <t>Beginning</t>
  </si>
  <si>
    <t>Ending</t>
  </si>
  <si>
    <t>Average</t>
  </si>
  <si>
    <t>SFR</t>
  </si>
  <si>
    <t>Gallons/</t>
  </si>
  <si>
    <t>(5)/(4)</t>
  </si>
  <si>
    <t>(7)</t>
  </si>
  <si>
    <t>(8)</t>
  </si>
  <si>
    <t>ERCs</t>
  </si>
  <si>
    <t>(7)/(6)</t>
  </si>
  <si>
    <t>(9)</t>
  </si>
  <si>
    <t>Annual</t>
  </si>
  <si>
    <t>% Incr.</t>
  </si>
  <si>
    <t>in ERCs</t>
  </si>
  <si>
    <t>Average Growth Through 5-Year Period (Col. 8)</t>
  </si>
  <si>
    <t>in the test year.  Provide an explanation if fire flow, line</t>
  </si>
  <si>
    <t>these days.</t>
  </si>
  <si>
    <t>AVERAGE</t>
  </si>
  <si>
    <t>Average Daily Flow</t>
  </si>
  <si>
    <t>The standards will be those as set by the Insurance Service</t>
  </si>
  <si>
    <t>Organization or by a governmental agency ordinance.  Provide</t>
  </si>
  <si>
    <t>documents to support this calculation.</t>
  </si>
  <si>
    <t>Recap Schedules:  A-5,A-9,B-13</t>
  </si>
  <si>
    <t>FPSC</t>
  </si>
  <si>
    <t xml:space="preserve">Wastewater Treatment Plant </t>
  </si>
  <si>
    <t>Schedule F-6</t>
  </si>
  <si>
    <t>the used and useful percentages for the wastewater treatment plant(s) for the historical test year</t>
  </si>
  <si>
    <t>and the projected test year (if applicable).</t>
  </si>
  <si>
    <t>Recap Schedules:  A-6,A-10,B-14</t>
  </si>
  <si>
    <t xml:space="preserve">Water Distribution and Wastewater Collection Systems </t>
  </si>
  <si>
    <t>Schedule F-7</t>
  </si>
  <si>
    <t>Explanation:  Provide all calculations, analyses and governmental requirements used to determine</t>
  </si>
  <si>
    <t>the used and useful percentages for the water distribution and wastewater collection systems for</t>
  </si>
  <si>
    <t>the historical and the projected test year (if applicable).  The capacity should be in terms of</t>
  </si>
  <si>
    <t>ability to serve a designated number of connections. It should then be related to actual connected</t>
  </si>
  <si>
    <t xml:space="preserve">density for historical year calculations.  Explain all assumptions for projected calculations.  If </t>
  </si>
  <si>
    <t>the distribution and collection systems are entirely contributed or built-out, this schedule is</t>
  </si>
  <si>
    <t>not required.</t>
  </si>
  <si>
    <t>Recap Schedules:  A-5,A-6,A-9,A-10,B-13,B-14</t>
  </si>
  <si>
    <t>Margin Reserve Calculations</t>
  </si>
  <si>
    <t>Schedule F-8</t>
  </si>
  <si>
    <t>Explanation:  If a margin reserve is requested, provide all calculations and analyses used to</t>
  </si>
  <si>
    <t xml:space="preserve">determine the amount of margin reserve for each portion of used and useful plant.  </t>
  </si>
  <si>
    <t>Recap Schedules:  F-5,F-6,F-7</t>
  </si>
  <si>
    <t>Gallons of Water Pumped, Sold and Unaccounted For</t>
  </si>
  <si>
    <t>Florida Public Service Commission</t>
  </si>
  <si>
    <t>In Thousands of Gallons</t>
  </si>
  <si>
    <t>Schedule F-1</t>
  </si>
  <si>
    <t>Page 1 of 1</t>
  </si>
  <si>
    <t xml:space="preserve">Explanation:  Provide a schedule of gallons of water pumped, sold and unaccounted for each month of the test </t>
  </si>
  <si>
    <t>uses may include plant use, flushing of hydrants and water and sewer lines, line breakages and fire flows.</t>
  </si>
  <si>
    <t>Provide all calculations to substantiate the other uses.  If unaccounted for water is greater than 10%, pro-</t>
  </si>
  <si>
    <t>vide an explanation as to the reasons why; if less than 10%, then Columns 4 &amp; 5 may be omitted.</t>
  </si>
  <si>
    <t>_</t>
  </si>
  <si>
    <t>(1)</t>
  </si>
  <si>
    <t>(2)</t>
  </si>
  <si>
    <t>(3)</t>
  </si>
  <si>
    <t>(4)</t>
  </si>
  <si>
    <t>(5)</t>
  </si>
  <si>
    <t>(6)</t>
  </si>
  <si>
    <t>Unaccounted</t>
  </si>
  <si>
    <t>%</t>
  </si>
  <si>
    <t>Month/</t>
  </si>
  <si>
    <t>Total Gallons</t>
  </si>
  <si>
    <t>Gallons</t>
  </si>
  <si>
    <t>Other</t>
  </si>
  <si>
    <t>For Water</t>
  </si>
  <si>
    <t>Year</t>
  </si>
  <si>
    <t xml:space="preserve">Pumped </t>
  </si>
  <si>
    <t>Sold</t>
  </si>
  <si>
    <t>Uses</t>
  </si>
  <si>
    <t>-</t>
  </si>
  <si>
    <t>Total</t>
  </si>
  <si>
    <t>=</t>
  </si>
  <si>
    <t>Gallons of Wastewater Treated</t>
  </si>
  <si>
    <t>Schedule F-2</t>
  </si>
  <si>
    <t>Company:  Utilities, Inc. of Florida (630/635-Golden Hills/Crownwood)</t>
  </si>
  <si>
    <t>*</t>
  </si>
  <si>
    <t>* Total Gallons Sold includes water sold to Golden Hills and Crownwood subdivisions.</t>
  </si>
  <si>
    <t xml:space="preserve">Explanation:  Provide a schedule of gallons of wastewater treated by individual plant for each month of the </t>
  </si>
  <si>
    <t xml:space="preserve">   Individual Plant Flows</t>
  </si>
  <si>
    <t>Total Purch.</t>
  </si>
  <si>
    <t>Total Plant</t>
  </si>
  <si>
    <t>Sewage</t>
  </si>
  <si>
    <t>(Name)</t>
  </si>
  <si>
    <t>Flows</t>
  </si>
  <si>
    <t>Treatment</t>
  </si>
  <si>
    <t>Water Treatment Plant Data</t>
  </si>
  <si>
    <t>Schedule F-3</t>
  </si>
  <si>
    <t>Explanation:  Provide the following information for each water treatment plant.  If the system has water plants that</t>
  </si>
  <si>
    <t>are interconnected, the data for these plants may be combined.  All flow data must be obtained from the monthly oper-</t>
  </si>
  <si>
    <t>Date</t>
  </si>
  <si>
    <t>GPD</t>
  </si>
  <si>
    <t>Plant Capacity</t>
  </si>
  <si>
    <t>INPUT INFORMATION:</t>
  </si>
  <si>
    <t>Total well pumping capacity, gpm</t>
  </si>
  <si>
    <t>gpm</t>
  </si>
  <si>
    <t>Firm Reliable well pumping capacity (largest well out), gpm</t>
  </si>
  <si>
    <t>Ground storage capacity, gal.</t>
  </si>
  <si>
    <t>gallons</t>
  </si>
  <si>
    <t>Usable ground storage (90%), gal.</t>
  </si>
  <si>
    <t>Hydropneumatic storage capacity, gal.</t>
  </si>
  <si>
    <t>Usable hydropneumatic storage capacity (33.33%), gal.</t>
  </si>
  <si>
    <t>Total usable storage, gal.</t>
  </si>
  <si>
    <t>High service pumping capacity, gpm</t>
  </si>
  <si>
    <t>Average day demand, maximum month</t>
  </si>
  <si>
    <t>gpd</t>
  </si>
  <si>
    <t xml:space="preserve">Maximum day, maximum month demand, </t>
  </si>
  <si>
    <t>Peak hour demand = 2 x max day</t>
  </si>
  <si>
    <t>Fire flow requirement</t>
  </si>
  <si>
    <t>Unaccounted for water</t>
  </si>
  <si>
    <t>of water pumped</t>
  </si>
  <si>
    <t>gpd, avg</t>
  </si>
  <si>
    <t>Acceptable unaccounted for</t>
  </si>
  <si>
    <t>Excess unaccounted for</t>
  </si>
  <si>
    <t>Percent Used &amp; Useful = (A + B + C - D)/E x 100%, where:</t>
  </si>
  <si>
    <t xml:space="preserve">A = </t>
  </si>
  <si>
    <t>Peak demand</t>
  </si>
  <si>
    <t>B =</t>
  </si>
  <si>
    <t>Property needed to serve five years after TY</t>
  </si>
  <si>
    <t>C =</t>
  </si>
  <si>
    <t>Fire flow demand</t>
  </si>
  <si>
    <t>D =</t>
  </si>
  <si>
    <t>Excess Unaccounted for water</t>
  </si>
  <si>
    <t>E =</t>
  </si>
  <si>
    <t>Firm Reliable Capacity</t>
  </si>
  <si>
    <t xml:space="preserve">The above used and useful factor is applicable to all source of supply, pumping and treatment accounts, </t>
  </si>
  <si>
    <t>as well as the land, structures and distribution resrvoir accounts.</t>
  </si>
  <si>
    <t>Preparer:  Seidman, F.</t>
  </si>
  <si>
    <t>Max Month</t>
  </si>
  <si>
    <t>(Above data in millions of gallons)</t>
  </si>
  <si>
    <t>year.  The gallons pumped should match the flows shown on the monthly operating reports sent to DEP. The other</t>
  </si>
  <si>
    <t xml:space="preserve">historical test year.  Flow data should match the  monthly operating reports sent to DEP. </t>
  </si>
  <si>
    <t>on the DEP operating or construction permit, provide an explanation.</t>
  </si>
  <si>
    <t xml:space="preserve">Explain, on a separate sheet of paper if fire flow, line breaks, </t>
  </si>
  <si>
    <t>or other unusual occurrences affected the flow this day.</t>
  </si>
  <si>
    <t>breaks or other unusual occurrences affected the flows on</t>
  </si>
  <si>
    <t>ating reports (MORs) sent to the Department of Environmental Protection.</t>
  </si>
  <si>
    <t>from the monthly operating reports (MORs) sent to the Department of Environmental Protection.</t>
  </si>
  <si>
    <t>500 gpm for 2 hours</t>
  </si>
  <si>
    <t>ADF</t>
  </si>
  <si>
    <t>3MADF</t>
  </si>
  <si>
    <t>Plant Capacity (Three Month Average Daily Flow (TMADF)</t>
  </si>
  <si>
    <t>2a.</t>
  </si>
  <si>
    <t>Highest TMADF</t>
  </si>
  <si>
    <t>Used &amp; Useful Analysis:</t>
  </si>
  <si>
    <t>This system treats water by simple chlorination. The only storage is in hydropneumatic tanks and there is</t>
  </si>
  <si>
    <t xml:space="preserve">no high service pumping.  All demands must be met by well pumping capacity. Used and useful is </t>
  </si>
  <si>
    <t>therefore determined on the basis of instantaneous demand.  For this system, all components are</t>
  </si>
  <si>
    <t>PN = EG x PT x U</t>
  </si>
  <si>
    <t>where:</t>
  </si>
  <si>
    <t xml:space="preserve">EG = </t>
  </si>
  <si>
    <t>Equivalent annual growth in ERCs</t>
  </si>
  <si>
    <t>ERCs/yr</t>
  </si>
  <si>
    <t>PT =</t>
  </si>
  <si>
    <t>Post test year period per statute</t>
  </si>
  <si>
    <t>yrs</t>
  </si>
  <si>
    <t>U =</t>
  </si>
  <si>
    <t>Unit of measure utilized in U&amp;U calculations.</t>
  </si>
  <si>
    <t>PN =</t>
  </si>
  <si>
    <t>Property needed expressed in U units</t>
  </si>
  <si>
    <t>ERC</t>
  </si>
  <si>
    <t>Annual average daily flow</t>
  </si>
  <si>
    <t>Maximum month, average daily flow</t>
  </si>
  <si>
    <t>Permitted capacity, Three month average daily flow (TMADF)</t>
  </si>
  <si>
    <t>Excess treated wastewater</t>
  </si>
  <si>
    <t>Percent Used &amp; Useful = (A + B - C)/D x 100%, where:</t>
  </si>
  <si>
    <t>Permitted Capacity, TMADF</t>
  </si>
  <si>
    <t>Water Pumping, Treatment &amp; Storage</t>
  </si>
  <si>
    <t>Wastewater Treatment &amp; Disposal</t>
  </si>
  <si>
    <t>considered together for purposes of determining used &amp; useful.  The current analysis supports the previous</t>
  </si>
  <si>
    <t>findings that the production, treatment, pumping and storage facilities are 100% used &amp; useful.</t>
  </si>
  <si>
    <t>Water Distribution System</t>
  </si>
  <si>
    <t>gpd/ERC</t>
  </si>
  <si>
    <t xml:space="preserve">The above used and useful factor is applicable to all treatment and disposal plant accounts. </t>
  </si>
  <si>
    <t>Wastewater Collection System</t>
  </si>
  <si>
    <t>Water Distribution  System</t>
  </si>
  <si>
    <t>Regression Analysis per Rule 25-30.431(2)(C)</t>
  </si>
  <si>
    <t>X</t>
  </si>
  <si>
    <t>Y</t>
  </si>
  <si>
    <t>Constant:</t>
  </si>
  <si>
    <t>X Coefficient:</t>
  </si>
  <si>
    <t>R^2:</t>
  </si>
  <si>
    <t>Property needed to serve five years after TY (see Sch. F- 8 &amp;10)</t>
  </si>
  <si>
    <t>Crownwood</t>
  </si>
  <si>
    <t xml:space="preserve">Peak demand, TMADF </t>
  </si>
  <si>
    <t xml:space="preserve">Note: Recent tests with a portable flow meter indicate that water well flow meters have been </t>
  </si>
  <si>
    <t>reading high. The comparative results are:</t>
  </si>
  <si>
    <t>Portable</t>
  </si>
  <si>
    <t xml:space="preserve">Flow </t>
  </si>
  <si>
    <t>Flow</t>
  </si>
  <si>
    <t>Meter, gpm</t>
  </si>
  <si>
    <t>Well No. 1</t>
  </si>
  <si>
    <t>Well No. 2</t>
  </si>
  <si>
    <t>Correction factor</t>
  </si>
  <si>
    <t>The correction factor has been applied to the total gallons pumped in Col. (1) and the</t>
  </si>
  <si>
    <t>Note: As indicated in Schedule F-1, it was determined that flow meters were reading high.</t>
  </si>
  <si>
    <t>above numbers.</t>
  </si>
  <si>
    <t>The correction factor of 83.26%, determined in Schedule F-1, is reflected in all of the</t>
  </si>
  <si>
    <t>Test Year Ended:  December 31, 2005</t>
  </si>
  <si>
    <t>Docket No.: 060253-WS</t>
  </si>
  <si>
    <t xml:space="preserve">Used &amp; useful was last set for this system in Docket No. 020071-WS. The Commission found the system </t>
  </si>
  <si>
    <t>to be 100% used &amp; useful, as it had been in past cases. There have been no significant changes in the system.</t>
  </si>
  <si>
    <t>ERCs appear to be increasing somewhat at a slow, erratic pace.</t>
  </si>
  <si>
    <t xml:space="preserve">Used &amp; useful was last set for this system in Docket No. 020071-WS. The wastewater treatment system was found to </t>
  </si>
  <si>
    <t xml:space="preserve">The wastewater collection system serves only the Crownwood area. In Docket No. 020071-WS , the collection </t>
  </si>
  <si>
    <t xml:space="preserve">system was found to be 100% used &amp; useful.  As indicated in that docket, the area served is compact and of such </t>
  </si>
  <si>
    <t>a configuration (a  quadraplex development) that the collection system serving the existing buildings,  although</t>
  </si>
  <si>
    <t xml:space="preserve">capable of serving  others, could not be any less, even if no other  buildings were built.  </t>
  </si>
  <si>
    <t>Used &amp; useful was last set for this system in Docket No. 020071-WS. The water distribution system was found to be</t>
  </si>
  <si>
    <t>100% used &amp; useful based on existing connections and an allowance for growth. Circumstances have not significantly</t>
  </si>
  <si>
    <t>Five year growth</t>
  </si>
  <si>
    <t>Annual average</t>
  </si>
  <si>
    <t>Prior to 2001, the system had been built out and stable. In 2001, a bulk utility customer, BFF Corp. was added.</t>
  </si>
  <si>
    <t>The significant increase in gallons from 2001 to 2002 represents that addition.  The average growth rate shown</t>
  </si>
  <si>
    <t>is distorted by the entry of BFF into the system.  A more reasonable indication of the growth rate is shown by the</t>
  </si>
  <si>
    <t>regression below beginning with 2002, when BFF was on the system:</t>
  </si>
  <si>
    <t xml:space="preserve">yrs </t>
  </si>
  <si>
    <t>gpm/ERC *</t>
  </si>
  <si>
    <t>* Based on the 2005 TMADF (Sch. F-6) divided 2005 ERCs (Sch F-10).</t>
  </si>
  <si>
    <t>* Based on the 2005 Peak Hour Demand (Sch. F-5) divided 2005 ERCs (Sch F-9).</t>
  </si>
  <si>
    <t>be 68.65% used &amp; useful.  Although there has been virtually no change in the customer base, the billed  wastewater</t>
  </si>
  <si>
    <t>than that last assigned. The plant is no less useful and the utility must be prepared for what may be a return</t>
  </si>
  <si>
    <t>Use (see discussion above)</t>
  </si>
  <si>
    <t>gallons for the Crownwood development has decrease by 9% since the last case  (TY 2001) and the BFF flows</t>
  </si>
  <si>
    <t xml:space="preserve">have remained steady. Water flows for the system have also decreased. Whether this is a result of conservation or </t>
  </si>
  <si>
    <t xml:space="preserve">a side effect of the 2005 hurricane season, the utility should not be penalized by assigning a U&amp;U percentage less </t>
  </si>
  <si>
    <t>to previous demand levels.</t>
  </si>
  <si>
    <t>Built out. Per Docket No. 020071-WS.</t>
  </si>
  <si>
    <t>changed.  No additional lots have been added. The system remains at 100% used and useful.</t>
  </si>
  <si>
    <t>Corrected Gallons</t>
  </si>
  <si>
    <t>(2)-(3)-(4)</t>
  </si>
  <si>
    <t>corrected gallons are shown in Col. (2).  The unaccounted for water in Col. (5) and the</t>
  </si>
  <si>
    <t>% unaccounted for water in Col (6) are based on the corrected pumped water amounts.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</si>
</sst>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000\A"/>
    <numFmt numFmtId="166" formatCode="#,##0\ ;\(#,##0\)"/>
    <numFmt numFmtId="167" formatCode="00.##%"/>
    <numFmt numFmtId="168" formatCode="0#.##%"/>
    <numFmt numFmtId="169" formatCode="0.##%"/>
    <numFmt numFmtId="170" formatCode="\(0.00%\)"/>
    <numFmt numFmtId="171" formatCode="0.000"/>
    <numFmt numFmtId="172" formatCode="0.0"/>
    <numFmt numFmtId="173" formatCode="0.0%"/>
    <numFmt numFmtId="174" formatCode="#,##0.000_);\(#,##0.000\)"/>
    <numFmt numFmtId="175" formatCode="#,##0.000_);\(#,##0.00\)"/>
    <numFmt numFmtId="176" formatCode="0.0000"/>
    <numFmt numFmtId="177" formatCode="0_);\(0\)"/>
  </numFmts>
  <fonts count="21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Courier"/>
      <family val="0"/>
    </font>
    <font>
      <b/>
      <sz val="10"/>
      <name val="Courier"/>
      <family val="0"/>
    </font>
    <font>
      <sz val="12"/>
      <name val="Courier"/>
      <family val="0"/>
    </font>
    <font>
      <b/>
      <sz val="18"/>
      <name val="Courier"/>
      <family val="0"/>
    </font>
    <font>
      <sz val="11"/>
      <name val="Courier New"/>
      <family val="3"/>
    </font>
    <font>
      <b/>
      <sz val="9"/>
      <name val="Courier New"/>
      <family val="3"/>
    </font>
    <font>
      <u val="single"/>
      <sz val="10"/>
      <name val="Geneva"/>
      <family val="0"/>
    </font>
    <font>
      <sz val="12"/>
      <name val="Courier New"/>
      <family val="3"/>
    </font>
    <font>
      <b/>
      <sz val="12"/>
      <name val="Courier New"/>
      <family val="3"/>
    </font>
    <font>
      <u val="single"/>
      <sz val="12"/>
      <name val="Courier New"/>
      <family val="3"/>
    </font>
    <font>
      <b/>
      <sz val="18"/>
      <name val="Courier New"/>
      <family val="3"/>
    </font>
    <font>
      <sz val="12"/>
      <name val="Arial"/>
      <family val="2"/>
    </font>
    <font>
      <sz val="11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fill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 horizontal="fill"/>
    </xf>
    <xf numFmtId="164" fontId="5" fillId="0" borderId="0" xfId="0" applyNumberFormat="1" applyFont="1" applyAlignment="1">
      <alignment/>
    </xf>
    <xf numFmtId="0" fontId="6" fillId="0" borderId="0" xfId="0" applyFont="1" applyAlignment="1">
      <alignment/>
    </xf>
    <xf numFmtId="164" fontId="7" fillId="0" borderId="0" xfId="0" applyNumberFormat="1" applyFont="1" applyAlignment="1">
      <alignment/>
    </xf>
    <xf numFmtId="17" fontId="4" fillId="0" borderId="0" xfId="0" applyNumberFormat="1" applyFont="1" applyAlignment="1">
      <alignment/>
    </xf>
    <xf numFmtId="171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4" fontId="4" fillId="0" borderId="0" xfId="0" applyNumberFormat="1" applyFont="1" applyAlignment="1">
      <alignment horizontal="fill"/>
    </xf>
    <xf numFmtId="17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fill"/>
    </xf>
    <xf numFmtId="0" fontId="4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7" fillId="0" borderId="0" xfId="0" applyFont="1" applyFill="1" applyAlignment="1" quotePrefix="1">
      <alignment horizontal="centerContinuous"/>
    </xf>
    <xf numFmtId="0" fontId="5" fillId="0" borderId="0" xfId="0" applyFont="1" applyFill="1" applyAlignment="1">
      <alignment horizontal="centerContinuous"/>
    </xf>
    <xf numFmtId="0" fontId="7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Alignment="1">
      <alignment horizontal="fill"/>
    </xf>
    <xf numFmtId="175" fontId="4" fillId="0" borderId="0" xfId="0" applyNumberFormat="1" applyFont="1" applyAlignment="1">
      <alignment horizontal="center"/>
    </xf>
    <xf numFmtId="17" fontId="4" fillId="0" borderId="1" xfId="0" applyNumberFormat="1" applyFont="1" applyBorder="1" applyAlignment="1">
      <alignment/>
    </xf>
    <xf numFmtId="17" fontId="4" fillId="0" borderId="1" xfId="0" applyNumberFormat="1" applyFont="1" applyBorder="1" applyAlignment="1">
      <alignment horizontal="center"/>
    </xf>
    <xf numFmtId="0" fontId="7" fillId="0" borderId="0" xfId="0" applyFont="1" applyAlignment="1" quotePrefix="1">
      <alignment horizontal="centerContinuous"/>
    </xf>
    <xf numFmtId="0" fontId="5" fillId="0" borderId="0" xfId="0" applyFont="1" applyAlignment="1">
      <alignment horizontal="centerContinuous"/>
    </xf>
    <xf numFmtId="175" fontId="5" fillId="0" borderId="0" xfId="0" applyNumberFormat="1" applyFont="1" applyAlignment="1">
      <alignment horizontal="centerContinuous"/>
    </xf>
    <xf numFmtId="0" fontId="0" fillId="0" borderId="1" xfId="0" applyBorder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4" fontId="7" fillId="0" borderId="0" xfId="0" applyNumberFormat="1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6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Fill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 quotePrefix="1">
      <alignment horizontal="center"/>
    </xf>
    <xf numFmtId="14" fontId="4" fillId="0" borderId="0" xfId="0" applyNumberFormat="1" applyFont="1" applyFill="1" applyBorder="1" applyAlignment="1">
      <alignment horizontal="right"/>
    </xf>
    <xf numFmtId="14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176" fontId="4" fillId="0" borderId="0" xfId="0" applyNumberFormat="1" applyFont="1" applyAlignment="1">
      <alignment/>
    </xf>
    <xf numFmtId="0" fontId="10" fillId="0" borderId="0" xfId="0" applyFont="1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4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37" fontId="11" fillId="0" borderId="0" xfId="0" applyNumberFormat="1" applyFont="1" applyAlignment="1">
      <alignment horizontal="center"/>
    </xf>
    <xf numFmtId="37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10" fontId="11" fillId="0" borderId="0" xfId="0" applyNumberFormat="1" applyFont="1" applyAlignment="1">
      <alignment horizontal="center"/>
    </xf>
    <xf numFmtId="37" fontId="12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10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fill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77" fontId="11" fillId="0" borderId="0" xfId="0" applyNumberFormat="1" applyFont="1" applyAlignment="1">
      <alignment horizontal="center"/>
    </xf>
    <xf numFmtId="164" fontId="14" fillId="0" borderId="0" xfId="0" applyNumberFormat="1" applyFont="1" applyAlignment="1">
      <alignment/>
    </xf>
    <xf numFmtId="164" fontId="14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0" fontId="4" fillId="0" borderId="0" xfId="0" applyNumberFormat="1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Alignment="1">
      <alignment horizontal="fill"/>
    </xf>
    <xf numFmtId="0" fontId="18" fillId="0" borderId="0" xfId="0" applyFont="1" applyAlignment="1">
      <alignment horizontal="center"/>
    </xf>
    <xf numFmtId="171" fontId="18" fillId="0" borderId="0" xfId="0" applyNumberFormat="1" applyFont="1" applyAlignment="1">
      <alignment/>
    </xf>
    <xf numFmtId="3" fontId="18" fillId="0" borderId="0" xfId="0" applyNumberFormat="1" applyFont="1" applyAlignment="1">
      <alignment/>
    </xf>
    <xf numFmtId="173" fontId="18" fillId="0" borderId="0" xfId="0" applyNumberFormat="1" applyFont="1" applyAlignment="1">
      <alignment/>
    </xf>
    <xf numFmtId="17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18" fillId="0" borderId="0" xfId="0" applyNumberFormat="1" applyFont="1" applyAlignment="1">
      <alignment horizontal="fill"/>
    </xf>
    <xf numFmtId="0" fontId="18" fillId="0" borderId="0" xfId="0" applyFont="1" applyAlignment="1">
      <alignment horizontal="centerContinuous" wrapText="1"/>
    </xf>
    <xf numFmtId="0" fontId="18" fillId="0" borderId="0" xfId="0" applyFont="1" applyAlignment="1">
      <alignment horizontal="right"/>
    </xf>
    <xf numFmtId="0" fontId="18" fillId="0" borderId="1" xfId="0" applyFont="1" applyBorder="1" applyAlignment="1">
      <alignment horizontal="center"/>
    </xf>
    <xf numFmtId="10" fontId="18" fillId="0" borderId="0" xfId="0" applyNumberFormat="1" applyFont="1" applyAlignment="1">
      <alignment/>
    </xf>
    <xf numFmtId="1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166" fontId="19" fillId="0" borderId="0" xfId="0" applyNumberFormat="1" applyFont="1" applyAlignment="1">
      <alignment/>
    </xf>
    <xf numFmtId="174" fontId="19" fillId="0" borderId="0" xfId="0" applyNumberFormat="1" applyFont="1" applyAlignment="1">
      <alignment/>
    </xf>
    <xf numFmtId="14" fontId="20" fillId="0" borderId="0" xfId="0" applyNumberFormat="1" applyFont="1" applyAlignment="1">
      <alignment/>
    </xf>
    <xf numFmtId="0" fontId="19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14" fontId="19" fillId="0" borderId="0" xfId="0" applyNumberFormat="1" applyFont="1" applyAlignment="1">
      <alignment/>
    </xf>
    <xf numFmtId="0" fontId="0" fillId="0" borderId="0" xfId="0" applyAlignment="1" quotePrefix="1">
      <alignment/>
    </xf>
    <xf numFmtId="0" fontId="4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Font="1" applyFill="1" applyAlignment="1">
      <alignment horizontal="left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 wrapText="1"/>
    </xf>
    <xf numFmtId="0" fontId="18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4.00390625" style="2" customWidth="1"/>
    <col min="4" max="4" width="4.00390625" style="2" customWidth="1"/>
    <col min="5" max="5" width="14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2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6" ht="12.75">
      <c r="A1" s="105" t="s">
        <v>79</v>
      </c>
      <c r="B1" s="106"/>
      <c r="C1" s="106"/>
      <c r="D1" s="106"/>
      <c r="E1" s="106"/>
      <c r="F1" s="106"/>
      <c r="G1" s="106"/>
      <c r="H1" s="106"/>
      <c r="I1" s="106"/>
      <c r="J1" s="105" t="s">
        <v>80</v>
      </c>
      <c r="K1" s="106"/>
      <c r="L1" s="106"/>
      <c r="P1" s="38"/>
    </row>
    <row r="2" spans="1:16" ht="13.5">
      <c r="A2" s="105" t="s">
        <v>81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88"/>
      <c r="N2" s="88"/>
      <c r="O2" s="88"/>
      <c r="P2" s="86"/>
    </row>
    <row r="3" spans="1:16" ht="13.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5" t="s">
        <v>82</v>
      </c>
      <c r="M3" s="88"/>
      <c r="N3" s="88"/>
      <c r="O3" s="88"/>
      <c r="P3" s="86"/>
    </row>
    <row r="4" spans="1:16" ht="13.5">
      <c r="A4" s="105" t="s">
        <v>111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5" t="s">
        <v>83</v>
      </c>
      <c r="M4" s="88"/>
      <c r="N4" s="88"/>
      <c r="O4" s="88"/>
      <c r="P4" s="86"/>
    </row>
    <row r="5" spans="1:16" ht="13.5">
      <c r="A5" s="105" t="s">
        <v>235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5" t="s">
        <v>163</v>
      </c>
      <c r="M5" s="88"/>
      <c r="N5" s="88"/>
      <c r="O5" s="88"/>
      <c r="P5" s="86"/>
    </row>
    <row r="6" spans="1:16" ht="13.5">
      <c r="A6" s="105" t="s">
        <v>234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88"/>
      <c r="N6" s="88"/>
      <c r="O6" s="88"/>
      <c r="P6" s="86"/>
    </row>
    <row r="7" spans="1:16" ht="13.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88"/>
      <c r="N7" s="88"/>
      <c r="O7" s="88"/>
      <c r="P7" s="86"/>
    </row>
    <row r="8" spans="1:16" ht="13.5">
      <c r="A8" s="105" t="s">
        <v>84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88"/>
      <c r="N8" s="88"/>
      <c r="O8" s="88"/>
      <c r="P8" s="86"/>
    </row>
    <row r="9" spans="1:16" ht="13.5">
      <c r="A9" s="105" t="s">
        <v>166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88"/>
      <c r="N9" s="88"/>
      <c r="O9" s="88"/>
      <c r="P9" s="86"/>
    </row>
    <row r="10" spans="1:16" ht="13.5">
      <c r="A10" s="105" t="s">
        <v>85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88"/>
      <c r="N10" s="88"/>
      <c r="O10" s="88"/>
      <c r="P10" s="86"/>
    </row>
    <row r="11" spans="1:16" ht="13.5">
      <c r="A11" s="105" t="s">
        <v>86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88"/>
      <c r="N11" s="88"/>
      <c r="O11" s="88"/>
      <c r="P11" s="86"/>
    </row>
    <row r="12" spans="1:16" ht="13.5">
      <c r="A12" s="105" t="s">
        <v>87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7"/>
      <c r="M12" s="88"/>
      <c r="N12" s="88"/>
      <c r="O12" s="88"/>
      <c r="P12" s="86"/>
    </row>
    <row r="13" spans="1:16" ht="13.5">
      <c r="A13" s="89" t="s">
        <v>88</v>
      </c>
      <c r="B13" s="89" t="s">
        <v>88</v>
      </c>
      <c r="C13" s="89" t="s">
        <v>88</v>
      </c>
      <c r="D13" s="89" t="s">
        <v>88</v>
      </c>
      <c r="E13" s="89" t="s">
        <v>88</v>
      </c>
      <c r="F13" s="89" t="s">
        <v>88</v>
      </c>
      <c r="G13" s="89" t="s">
        <v>88</v>
      </c>
      <c r="H13" s="89" t="s">
        <v>88</v>
      </c>
      <c r="I13" s="89" t="s">
        <v>88</v>
      </c>
      <c r="J13" s="89" t="s">
        <v>88</v>
      </c>
      <c r="K13" s="89" t="s">
        <v>88</v>
      </c>
      <c r="L13" s="89" t="s">
        <v>88</v>
      </c>
      <c r="M13" s="89" t="s">
        <v>88</v>
      </c>
      <c r="N13" s="88"/>
      <c r="O13" s="88"/>
      <c r="P13" s="86"/>
    </row>
    <row r="14" spans="1:16" ht="13.5">
      <c r="A14" s="88"/>
      <c r="B14" s="88"/>
      <c r="C14" s="90" t="s">
        <v>89</v>
      </c>
      <c r="D14" s="88"/>
      <c r="E14" s="90" t="s">
        <v>90</v>
      </c>
      <c r="F14" s="88"/>
      <c r="G14" s="90" t="s">
        <v>91</v>
      </c>
      <c r="H14" s="88"/>
      <c r="I14" s="90" t="s">
        <v>92</v>
      </c>
      <c r="J14" s="88"/>
      <c r="K14" s="90" t="s">
        <v>93</v>
      </c>
      <c r="L14" s="88"/>
      <c r="M14" s="90" t="s">
        <v>94</v>
      </c>
      <c r="N14" s="88"/>
      <c r="O14" s="88"/>
      <c r="P14" s="86"/>
    </row>
    <row r="15" spans="1:16" ht="13.5">
      <c r="A15" s="88"/>
      <c r="B15" s="88"/>
      <c r="C15" s="88"/>
      <c r="D15" s="88"/>
      <c r="E15" s="88"/>
      <c r="F15" s="88"/>
      <c r="G15" s="90" t="s">
        <v>112</v>
      </c>
      <c r="H15" s="88"/>
      <c r="I15" s="88"/>
      <c r="J15" s="88"/>
      <c r="K15" s="90" t="s">
        <v>95</v>
      </c>
      <c r="L15" s="88"/>
      <c r="M15" s="90" t="s">
        <v>96</v>
      </c>
      <c r="N15" s="88"/>
      <c r="O15" s="88"/>
      <c r="P15" s="86"/>
    </row>
    <row r="16" spans="1:16" ht="13.5">
      <c r="A16" s="90" t="s">
        <v>97</v>
      </c>
      <c r="B16" s="88"/>
      <c r="C16" s="90" t="s">
        <v>98</v>
      </c>
      <c r="D16" s="88"/>
      <c r="E16" s="90" t="s">
        <v>265</v>
      </c>
      <c r="F16" s="88"/>
      <c r="G16" s="90" t="s">
        <v>99</v>
      </c>
      <c r="H16" s="88"/>
      <c r="I16" s="90" t="s">
        <v>100</v>
      </c>
      <c r="J16" s="88"/>
      <c r="K16" s="90" t="s">
        <v>101</v>
      </c>
      <c r="L16" s="88"/>
      <c r="M16" s="90" t="s">
        <v>95</v>
      </c>
      <c r="N16" s="88"/>
      <c r="O16" s="88"/>
      <c r="P16" s="86"/>
    </row>
    <row r="17" spans="1:16" ht="13.5">
      <c r="A17" s="90" t="s">
        <v>102</v>
      </c>
      <c r="B17" s="88"/>
      <c r="C17" s="90" t="s">
        <v>103</v>
      </c>
      <c r="D17" s="88"/>
      <c r="E17" s="90" t="s">
        <v>103</v>
      </c>
      <c r="F17" s="88"/>
      <c r="G17" s="90" t="s">
        <v>104</v>
      </c>
      <c r="H17" s="88"/>
      <c r="I17" s="90" t="s">
        <v>105</v>
      </c>
      <c r="J17" s="88"/>
      <c r="K17" s="90" t="s">
        <v>266</v>
      </c>
      <c r="L17" s="88"/>
      <c r="M17" s="90" t="s">
        <v>101</v>
      </c>
      <c r="N17" s="88"/>
      <c r="O17" s="88"/>
      <c r="P17" s="86"/>
    </row>
    <row r="18" spans="1:16" ht="13.5">
      <c r="A18" s="89" t="s">
        <v>88</v>
      </c>
      <c r="B18" s="88"/>
      <c r="C18" s="89" t="s">
        <v>88</v>
      </c>
      <c r="D18" s="88"/>
      <c r="E18" s="89" t="s">
        <v>88</v>
      </c>
      <c r="F18" s="88"/>
      <c r="G18" s="89" t="s">
        <v>88</v>
      </c>
      <c r="H18" s="88"/>
      <c r="I18" s="89" t="s">
        <v>88</v>
      </c>
      <c r="J18" s="88"/>
      <c r="K18" s="89" t="s">
        <v>88</v>
      </c>
      <c r="L18" s="88"/>
      <c r="M18" s="89" t="s">
        <v>88</v>
      </c>
      <c r="N18" s="88"/>
      <c r="O18" s="88"/>
      <c r="P18" s="86"/>
    </row>
    <row r="19" spans="1:16" ht="13.5">
      <c r="A19" s="9">
        <v>38353</v>
      </c>
      <c r="B19" s="88"/>
      <c r="C19" s="91">
        <v>4.848</v>
      </c>
      <c r="D19" s="88"/>
      <c r="E19" s="91">
        <f aca="true" t="shared" si="0" ref="E19:E30">$G$47*C19</f>
        <v>4.036343891402715</v>
      </c>
      <c r="F19" s="88"/>
      <c r="G19" s="91">
        <v>3.415</v>
      </c>
      <c r="H19" s="88"/>
      <c r="I19" s="91">
        <v>0</v>
      </c>
      <c r="J19" s="88"/>
      <c r="K19" s="91">
        <f aca="true" t="shared" si="1" ref="K19:K30">E19-G19-I19</f>
        <v>0.6213438914027147</v>
      </c>
      <c r="L19" s="92"/>
      <c r="M19" s="93">
        <f aca="true" t="shared" si="2" ref="M19:M30">K19/E19</f>
        <v>0.15393730269766104</v>
      </c>
      <c r="N19" s="88"/>
      <c r="O19" s="88"/>
      <c r="P19" s="86"/>
    </row>
    <row r="20" spans="1:16" ht="13.5">
      <c r="A20" s="9">
        <v>38384</v>
      </c>
      <c r="B20" s="88"/>
      <c r="C20" s="91">
        <v>4.226</v>
      </c>
      <c r="D20" s="88"/>
      <c r="E20" s="91">
        <f t="shared" si="0"/>
        <v>3.5184796380090497</v>
      </c>
      <c r="F20" s="88"/>
      <c r="G20" s="91">
        <v>3.424</v>
      </c>
      <c r="H20" s="88"/>
      <c r="I20" s="91">
        <v>0.058</v>
      </c>
      <c r="J20" s="88"/>
      <c r="K20" s="91">
        <f t="shared" si="1"/>
        <v>0.03647963800904979</v>
      </c>
      <c r="L20" s="92"/>
      <c r="M20" s="93">
        <f t="shared" si="2"/>
        <v>0.010368011687483287</v>
      </c>
      <c r="N20" s="88"/>
      <c r="O20" s="88"/>
      <c r="P20" s="86"/>
    </row>
    <row r="21" spans="1:16" ht="13.5">
      <c r="A21" s="9">
        <v>38412</v>
      </c>
      <c r="B21" s="88"/>
      <c r="C21" s="91">
        <v>4.562</v>
      </c>
      <c r="D21" s="88"/>
      <c r="E21" s="91">
        <f t="shared" si="0"/>
        <v>3.798226244343892</v>
      </c>
      <c r="F21" s="88"/>
      <c r="G21" s="91">
        <v>3.415</v>
      </c>
      <c r="H21" s="88"/>
      <c r="I21" s="91">
        <v>0</v>
      </c>
      <c r="J21" s="88"/>
      <c r="K21" s="91">
        <f t="shared" si="1"/>
        <v>0.38322624434389185</v>
      </c>
      <c r="L21" s="92"/>
      <c r="M21" s="93">
        <f t="shared" si="2"/>
        <v>0.10089610773306913</v>
      </c>
      <c r="N21" s="88"/>
      <c r="O21" s="88"/>
      <c r="P21" s="86"/>
    </row>
    <row r="22" spans="1:16" ht="13.5">
      <c r="A22" s="9">
        <v>38443</v>
      </c>
      <c r="B22" s="88"/>
      <c r="C22" s="91">
        <v>5.236</v>
      </c>
      <c r="D22" s="88"/>
      <c r="E22" s="91">
        <f t="shared" si="0"/>
        <v>4.359384615384616</v>
      </c>
      <c r="F22" s="88"/>
      <c r="G22" s="91">
        <v>4.212</v>
      </c>
      <c r="H22" s="88"/>
      <c r="I22" s="91">
        <v>0.041</v>
      </c>
      <c r="J22" s="88"/>
      <c r="K22" s="91">
        <f t="shared" si="1"/>
        <v>0.10638461538461588</v>
      </c>
      <c r="L22" s="92"/>
      <c r="M22" s="93">
        <f t="shared" si="2"/>
        <v>0.024403585544890007</v>
      </c>
      <c r="N22" s="88"/>
      <c r="O22" s="88"/>
      <c r="P22" s="86"/>
    </row>
    <row r="23" spans="1:16" ht="13.5">
      <c r="A23" s="9">
        <v>38473</v>
      </c>
      <c r="B23" s="88"/>
      <c r="C23" s="91">
        <v>5.057</v>
      </c>
      <c r="D23" s="88"/>
      <c r="E23" s="91">
        <f t="shared" si="0"/>
        <v>4.210352941176471</v>
      </c>
      <c r="F23" s="88"/>
      <c r="G23" s="91">
        <v>4.025</v>
      </c>
      <c r="H23" s="88"/>
      <c r="I23" s="91">
        <v>0.042</v>
      </c>
      <c r="J23" s="88"/>
      <c r="K23" s="91">
        <f t="shared" si="1"/>
        <v>0.14335294117647093</v>
      </c>
      <c r="L23" s="92"/>
      <c r="M23" s="93">
        <f t="shared" si="2"/>
        <v>0.03404772549457927</v>
      </c>
      <c r="N23" s="88"/>
      <c r="O23" s="88"/>
      <c r="P23" s="86"/>
    </row>
    <row r="24" spans="1:16" ht="13.5">
      <c r="A24" s="9">
        <v>38504</v>
      </c>
      <c r="B24" s="88"/>
      <c r="C24" s="91">
        <v>4.636</v>
      </c>
      <c r="D24" s="88"/>
      <c r="E24" s="91">
        <f t="shared" si="0"/>
        <v>3.8598371040723984</v>
      </c>
      <c r="F24" s="88"/>
      <c r="G24" s="91">
        <v>3.534</v>
      </c>
      <c r="H24" s="88"/>
      <c r="I24" s="91">
        <v>0.047</v>
      </c>
      <c r="J24" s="88"/>
      <c r="K24" s="91">
        <f t="shared" si="1"/>
        <v>0.27883710407239864</v>
      </c>
      <c r="L24" s="92"/>
      <c r="M24" s="93">
        <f t="shared" si="2"/>
        <v>0.07224064035712957</v>
      </c>
      <c r="N24" s="88"/>
      <c r="O24" s="88"/>
      <c r="P24" s="86"/>
    </row>
    <row r="25" spans="1:16" ht="13.5">
      <c r="A25" s="9">
        <v>38534</v>
      </c>
      <c r="B25" s="88"/>
      <c r="C25" s="91">
        <v>4.754</v>
      </c>
      <c r="D25" s="88"/>
      <c r="E25" s="91">
        <f t="shared" si="0"/>
        <v>3.9580814479638007</v>
      </c>
      <c r="F25" s="88"/>
      <c r="G25" s="91">
        <v>3.48</v>
      </c>
      <c r="H25" s="88"/>
      <c r="I25" s="91">
        <v>0.058</v>
      </c>
      <c r="J25" s="88"/>
      <c r="K25" s="91">
        <f t="shared" si="1"/>
        <v>0.4200814479638007</v>
      </c>
      <c r="L25" s="92"/>
      <c r="M25" s="93">
        <f t="shared" si="2"/>
        <v>0.10613259314810407</v>
      </c>
      <c r="N25" s="88"/>
      <c r="O25" s="88"/>
      <c r="P25" s="86"/>
    </row>
    <row r="26" spans="1:16" ht="13.5">
      <c r="A26" s="9">
        <v>38565</v>
      </c>
      <c r="B26" s="88"/>
      <c r="C26" s="91">
        <v>4.362</v>
      </c>
      <c r="D26" s="88"/>
      <c r="E26" s="91">
        <f t="shared" si="0"/>
        <v>3.631710407239819</v>
      </c>
      <c r="F26" s="88"/>
      <c r="G26" s="91">
        <v>3.588</v>
      </c>
      <c r="H26" s="88"/>
      <c r="I26" s="91">
        <v>0.041</v>
      </c>
      <c r="J26" s="88"/>
      <c r="K26" s="91">
        <f t="shared" si="1"/>
        <v>0.002710407239819114</v>
      </c>
      <c r="L26" s="92"/>
      <c r="M26" s="93">
        <f t="shared" si="2"/>
        <v>0.0007463170065586489</v>
      </c>
      <c r="N26" s="88"/>
      <c r="O26" s="88"/>
      <c r="P26" s="86"/>
    </row>
    <row r="27" spans="1:16" ht="13.5">
      <c r="A27" s="9">
        <v>38596</v>
      </c>
      <c r="B27" s="88"/>
      <c r="C27" s="91">
        <v>4.71</v>
      </c>
      <c r="D27" s="88"/>
      <c r="E27" s="91">
        <f t="shared" si="0"/>
        <v>3.921447963800905</v>
      </c>
      <c r="F27" s="88"/>
      <c r="G27" s="91">
        <v>3.775</v>
      </c>
      <c r="H27" s="88"/>
      <c r="I27" s="91">
        <v>0.067</v>
      </c>
      <c r="J27" s="88"/>
      <c r="K27" s="91">
        <f t="shared" si="1"/>
        <v>0.07944796380090507</v>
      </c>
      <c r="L27" s="92"/>
      <c r="M27" s="93">
        <f t="shared" si="2"/>
        <v>0.020259854149358467</v>
      </c>
      <c r="N27" s="88"/>
      <c r="O27" s="88"/>
      <c r="P27" s="86"/>
    </row>
    <row r="28" spans="1:16" ht="13.5">
      <c r="A28" s="9">
        <v>38626</v>
      </c>
      <c r="B28" s="88"/>
      <c r="C28" s="91">
        <v>5.38</v>
      </c>
      <c r="D28" s="88"/>
      <c r="E28" s="91">
        <f t="shared" si="0"/>
        <v>4.479276018099547</v>
      </c>
      <c r="F28" s="88"/>
      <c r="G28" s="91">
        <v>3.778</v>
      </c>
      <c r="H28" s="88"/>
      <c r="I28" s="91">
        <v>0.094</v>
      </c>
      <c r="J28" s="88"/>
      <c r="K28" s="91">
        <f t="shared" si="1"/>
        <v>0.6072760180995472</v>
      </c>
      <c r="L28" s="92"/>
      <c r="M28" s="93">
        <f t="shared" si="2"/>
        <v>0.135574591886213</v>
      </c>
      <c r="N28" s="88"/>
      <c r="O28" s="88"/>
      <c r="P28" s="86"/>
    </row>
    <row r="29" spans="1:16" ht="13.5">
      <c r="A29" s="9">
        <v>38657</v>
      </c>
      <c r="B29" s="88"/>
      <c r="C29" s="91">
        <v>5.658</v>
      </c>
      <c r="D29" s="88"/>
      <c r="E29" s="91">
        <f t="shared" si="0"/>
        <v>4.710733031674208</v>
      </c>
      <c r="F29" s="88"/>
      <c r="G29" s="91">
        <v>4.348</v>
      </c>
      <c r="H29" s="88"/>
      <c r="I29" s="91">
        <v>0.065</v>
      </c>
      <c r="J29" s="88"/>
      <c r="K29" s="91">
        <f t="shared" si="1"/>
        <v>0.29773303167420856</v>
      </c>
      <c r="L29" s="92"/>
      <c r="M29" s="93">
        <f t="shared" si="2"/>
        <v>0.06320312139794375</v>
      </c>
      <c r="N29" s="88"/>
      <c r="O29" s="88"/>
      <c r="P29" s="86"/>
    </row>
    <row r="30" spans="1:16" ht="13.5">
      <c r="A30" s="9">
        <v>38687</v>
      </c>
      <c r="B30" s="88"/>
      <c r="C30" s="91">
        <v>4.32</v>
      </c>
      <c r="D30" s="88"/>
      <c r="E30" s="91">
        <f t="shared" si="0"/>
        <v>3.5967420814479643</v>
      </c>
      <c r="F30" s="88"/>
      <c r="G30" s="91">
        <v>3.748</v>
      </c>
      <c r="H30" s="88"/>
      <c r="I30" s="91">
        <v>0.109</v>
      </c>
      <c r="J30" s="88"/>
      <c r="K30" s="91">
        <f t="shared" si="1"/>
        <v>-0.26025791855203595</v>
      </c>
      <c r="L30" s="92"/>
      <c r="M30" s="93">
        <f t="shared" si="2"/>
        <v>-0.07235934983896933</v>
      </c>
      <c r="N30" s="88"/>
      <c r="O30" s="88"/>
      <c r="P30" s="86"/>
    </row>
    <row r="31" spans="1:16" ht="13.5">
      <c r="A31" s="94"/>
      <c r="B31" s="88"/>
      <c r="C31" s="88"/>
      <c r="D31" s="88"/>
      <c r="E31" s="88"/>
      <c r="F31" s="88"/>
      <c r="G31" s="91"/>
      <c r="H31" s="88"/>
      <c r="I31" s="91"/>
      <c r="J31" s="88"/>
      <c r="K31" s="91"/>
      <c r="L31" s="92"/>
      <c r="M31" s="95"/>
      <c r="N31" s="88"/>
      <c r="O31" s="88"/>
      <c r="P31" s="86"/>
    </row>
    <row r="32" spans="1:16" ht="13.5">
      <c r="A32" s="88"/>
      <c r="B32" s="88"/>
      <c r="C32" s="96" t="s">
        <v>106</v>
      </c>
      <c r="D32" s="88"/>
      <c r="E32" s="89" t="s">
        <v>106</v>
      </c>
      <c r="F32" s="88"/>
      <c r="G32" s="89" t="s">
        <v>106</v>
      </c>
      <c r="H32" s="88"/>
      <c r="I32" s="89" t="s">
        <v>106</v>
      </c>
      <c r="J32" s="88"/>
      <c r="K32" s="89" t="s">
        <v>106</v>
      </c>
      <c r="L32" s="92"/>
      <c r="M32" s="96" t="s">
        <v>106</v>
      </c>
      <c r="N32" s="88"/>
      <c r="O32" s="88"/>
      <c r="P32" s="86"/>
    </row>
    <row r="33" spans="1:16" ht="13.5">
      <c r="A33" s="90" t="s">
        <v>107</v>
      </c>
      <c r="B33" s="88"/>
      <c r="C33" s="88">
        <f>SUM(C19:C31)</f>
        <v>57.74900000000001</v>
      </c>
      <c r="D33" s="88"/>
      <c r="E33" s="91">
        <f>SUM(E19:E31)</f>
        <v>48.080615384615385</v>
      </c>
      <c r="F33" s="88"/>
      <c r="G33" s="91">
        <f>SUM(G19:G31)</f>
        <v>44.742</v>
      </c>
      <c r="H33" s="88"/>
      <c r="I33" s="91">
        <f>SUM(I19:I32)</f>
        <v>0.6219999999999999</v>
      </c>
      <c r="J33" s="88"/>
      <c r="K33" s="91">
        <f>SUM(K19:K31)</f>
        <v>2.7166153846153867</v>
      </c>
      <c r="L33" s="92"/>
      <c r="M33" s="93">
        <f>K33/E33</f>
        <v>0.05650126070317804</v>
      </c>
      <c r="N33" s="88"/>
      <c r="O33" s="88"/>
      <c r="P33" s="86"/>
    </row>
    <row r="34" spans="1:16" ht="13.5">
      <c r="A34" s="88"/>
      <c r="B34" s="88"/>
      <c r="C34" s="89" t="s">
        <v>108</v>
      </c>
      <c r="D34" s="88"/>
      <c r="E34" s="89" t="s">
        <v>108</v>
      </c>
      <c r="F34" s="88"/>
      <c r="G34" s="89" t="s">
        <v>108</v>
      </c>
      <c r="H34" s="88"/>
      <c r="I34" s="89" t="s">
        <v>108</v>
      </c>
      <c r="J34" s="88"/>
      <c r="K34" s="89" t="s">
        <v>108</v>
      </c>
      <c r="L34" s="88"/>
      <c r="M34" s="89" t="s">
        <v>108</v>
      </c>
      <c r="N34" s="88"/>
      <c r="O34" s="88"/>
      <c r="P34" s="86"/>
    </row>
    <row r="35" spans="1:16" ht="13.5">
      <c r="A35" s="88"/>
      <c r="B35" s="88"/>
      <c r="C35" s="88" t="s">
        <v>165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6"/>
    </row>
    <row r="36" spans="1:16" ht="36" customHeight="1">
      <c r="A36" s="87" t="s">
        <v>113</v>
      </c>
      <c r="B36" s="88"/>
      <c r="C36" s="8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88"/>
      <c r="O36" s="88"/>
      <c r="P36" s="86"/>
    </row>
    <row r="37" spans="1:16" ht="13.5">
      <c r="A37" s="98"/>
      <c r="B37" s="88"/>
      <c r="C37" s="8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88"/>
      <c r="O37" s="88"/>
      <c r="P37" s="86"/>
    </row>
    <row r="38" spans="1:16" ht="13.5">
      <c r="A38" s="88" t="s">
        <v>221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6"/>
    </row>
    <row r="39" spans="1:16" ht="13.5">
      <c r="A39" s="88" t="s">
        <v>222</v>
      </c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6"/>
    </row>
    <row r="40" spans="1:16" ht="13.5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6"/>
    </row>
    <row r="41" spans="1:16" ht="13.5">
      <c r="A41" s="88"/>
      <c r="B41" s="88"/>
      <c r="C41" s="88"/>
      <c r="D41" s="88"/>
      <c r="E41" s="90"/>
      <c r="F41" s="90"/>
      <c r="G41" s="90" t="s">
        <v>223</v>
      </c>
      <c r="H41" s="88"/>
      <c r="I41" s="88"/>
      <c r="J41" s="88"/>
      <c r="K41" s="88"/>
      <c r="L41" s="88"/>
      <c r="M41" s="88"/>
      <c r="N41" s="88"/>
      <c r="O41" s="88"/>
      <c r="P41" s="86"/>
    </row>
    <row r="42" spans="1:16" ht="13.5">
      <c r="A42" s="88"/>
      <c r="B42" s="88"/>
      <c r="C42" s="88"/>
      <c r="D42" s="88"/>
      <c r="E42" s="90" t="s">
        <v>224</v>
      </c>
      <c r="F42" s="90"/>
      <c r="G42" s="90" t="s">
        <v>225</v>
      </c>
      <c r="H42" s="88"/>
      <c r="I42" s="88"/>
      <c r="J42" s="88"/>
      <c r="K42" s="88"/>
      <c r="L42" s="88"/>
      <c r="M42" s="88"/>
      <c r="N42" s="88"/>
      <c r="O42" s="88"/>
      <c r="P42" s="86"/>
    </row>
    <row r="43" spans="1:16" ht="13.5">
      <c r="A43" s="88"/>
      <c r="B43" s="88"/>
      <c r="C43" s="88"/>
      <c r="D43" s="88"/>
      <c r="E43" s="99" t="s">
        <v>226</v>
      </c>
      <c r="F43" s="90"/>
      <c r="G43" s="99" t="s">
        <v>226</v>
      </c>
      <c r="H43" s="88"/>
      <c r="I43" s="88"/>
      <c r="J43" s="88"/>
      <c r="K43" s="88"/>
      <c r="L43" s="88"/>
      <c r="M43" s="88"/>
      <c r="N43" s="88"/>
      <c r="O43" s="88"/>
      <c r="P43" s="86"/>
    </row>
    <row r="44" spans="1:16" ht="13.5">
      <c r="A44" s="88"/>
      <c r="B44" s="88" t="s">
        <v>227</v>
      </c>
      <c r="C44" s="88"/>
      <c r="D44" s="88"/>
      <c r="E44" s="90">
        <v>224</v>
      </c>
      <c r="F44" s="90"/>
      <c r="G44" s="90">
        <v>192</v>
      </c>
      <c r="H44" s="88"/>
      <c r="I44" s="88"/>
      <c r="J44" s="88"/>
      <c r="K44" s="88"/>
      <c r="L44" s="88"/>
      <c r="M44" s="88"/>
      <c r="N44" s="88"/>
      <c r="O44" s="88"/>
      <c r="P44" s="86"/>
    </row>
    <row r="45" spans="1:16" ht="13.5">
      <c r="A45" s="88"/>
      <c r="B45" s="88" t="s">
        <v>228</v>
      </c>
      <c r="C45" s="88"/>
      <c r="D45" s="88"/>
      <c r="E45" s="99">
        <v>439</v>
      </c>
      <c r="F45" s="90"/>
      <c r="G45" s="99">
        <v>360</v>
      </c>
      <c r="H45" s="88"/>
      <c r="I45" s="88"/>
      <c r="J45" s="88"/>
      <c r="K45" s="88"/>
      <c r="L45" s="88"/>
      <c r="M45" s="88"/>
      <c r="N45" s="88"/>
      <c r="O45" s="88"/>
      <c r="P45" s="86"/>
    </row>
    <row r="46" spans="1:16" ht="13.5">
      <c r="A46" s="88"/>
      <c r="B46" s="88" t="s">
        <v>107</v>
      </c>
      <c r="C46" s="88"/>
      <c r="D46" s="88"/>
      <c r="E46" s="90">
        <f>+E44+E45</f>
        <v>663</v>
      </c>
      <c r="F46" s="90"/>
      <c r="G46" s="90">
        <f>+G44+G45</f>
        <v>552</v>
      </c>
      <c r="H46" s="88"/>
      <c r="I46" s="88"/>
      <c r="J46" s="88"/>
      <c r="K46" s="88"/>
      <c r="L46" s="88"/>
      <c r="M46" s="88"/>
      <c r="N46" s="88"/>
      <c r="O46" s="88"/>
      <c r="P46" s="86"/>
    </row>
    <row r="47" spans="1:16" ht="13.5">
      <c r="A47" s="88"/>
      <c r="B47" s="88" t="s">
        <v>229</v>
      </c>
      <c r="C47" s="88"/>
      <c r="D47" s="88"/>
      <c r="E47" s="88"/>
      <c r="F47" s="88"/>
      <c r="G47" s="100">
        <f>+G46/E46</f>
        <v>0.832579185520362</v>
      </c>
      <c r="H47" s="88"/>
      <c r="I47" s="88"/>
      <c r="J47" s="88"/>
      <c r="K47" s="88"/>
      <c r="L47" s="88"/>
      <c r="M47" s="88"/>
      <c r="N47" s="88"/>
      <c r="O47" s="88"/>
      <c r="P47" s="86"/>
    </row>
    <row r="48" spans="1:16" ht="13.5">
      <c r="A48" s="88"/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6"/>
    </row>
    <row r="49" spans="1:16" ht="13.5">
      <c r="A49" s="88" t="s">
        <v>230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6"/>
    </row>
    <row r="50" spans="1:16" ht="13.5">
      <c r="A50" s="88" t="s">
        <v>267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6"/>
    </row>
    <row r="51" spans="1:16" ht="13.5">
      <c r="A51" s="88" t="s">
        <v>268</v>
      </c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6"/>
    </row>
    <row r="53" ht="24">
      <c r="G53" s="81"/>
    </row>
    <row r="64" spans="1:7" ht="18" customHeight="1">
      <c r="A64" s="7"/>
      <c r="G64" s="8"/>
    </row>
    <row r="65" ht="12">
      <c r="G65" s="6"/>
    </row>
  </sheetData>
  <printOptions/>
  <pageMargins left="0.75" right="0.5" top="1" bottom="1" header="0.5" footer="0.5"/>
  <pageSetup fitToHeight="1" fitToWidth="1" orientation="portrait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zoomScale="75" zoomScaleNormal="75" workbookViewId="0" topLeftCell="A27">
      <selection activeCell="C41" sqref="C41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7.375" style="2" customWidth="1"/>
    <col min="12" max="12" width="1.75390625" style="2" customWidth="1"/>
    <col min="13" max="13" width="11.375" style="2" customWidth="1"/>
    <col min="14" max="14" width="1.75390625" style="2" customWidth="1"/>
    <col min="15" max="15" width="18.00390625" style="2" customWidth="1"/>
    <col min="16" max="16" width="3.875" style="2" customWidth="1"/>
    <col min="17" max="17" width="8.75390625" style="2" customWidth="1"/>
    <col min="18" max="18" width="1.75390625" style="2" customWidth="1"/>
    <col min="19" max="19" width="11.00390625" style="2" customWidth="1"/>
    <col min="20" max="205" width="8.75390625" style="2" customWidth="1"/>
    <col min="206" max="16384" width="10.75390625" style="2" customWidth="1"/>
  </cols>
  <sheetData>
    <row r="1" spans="1:18" ht="12.75">
      <c r="A1" s="105" t="s">
        <v>30</v>
      </c>
      <c r="B1" s="106"/>
      <c r="C1" s="106"/>
      <c r="D1" s="106"/>
      <c r="E1" s="106"/>
      <c r="F1" s="106"/>
      <c r="G1" s="106"/>
      <c r="H1" s="106"/>
      <c r="I1" s="106"/>
      <c r="J1" s="106"/>
      <c r="K1" s="106" t="s">
        <v>80</v>
      </c>
      <c r="L1" s="106"/>
      <c r="M1" s="105"/>
      <c r="N1" s="106"/>
      <c r="O1" s="106"/>
      <c r="P1" s="106"/>
      <c r="Q1" s="106"/>
      <c r="R1" s="106"/>
    </row>
    <row r="2" spans="1:18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2.75">
      <c r="A3" s="105" t="str">
        <f>'F-1'!A4</f>
        <v>Company:  Utilities, Inc. of Florida (630/635-Golden Hills/Crownwood)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5"/>
      <c r="N3" s="106"/>
      <c r="O3" s="106"/>
      <c r="P3" s="106"/>
      <c r="Q3" s="106" t="s">
        <v>31</v>
      </c>
      <c r="R3" s="106"/>
    </row>
    <row r="4" spans="1:18" ht="12.75">
      <c r="A4" s="105" t="str">
        <f>'F-1'!A5</f>
        <v>Docket No.: 060253-WS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5"/>
      <c r="N4" s="106"/>
      <c r="O4" s="106"/>
      <c r="P4" s="106"/>
      <c r="Q4" s="106" t="s">
        <v>83</v>
      </c>
      <c r="R4" s="106"/>
    </row>
    <row r="5" spans="1:18" ht="12.75">
      <c r="A5" s="105" t="str">
        <f>'F-1'!A6</f>
        <v>Test Year Ended:  December 31, 2005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5"/>
      <c r="N5" s="106"/>
      <c r="O5" s="106"/>
      <c r="P5" s="106"/>
      <c r="Q5" s="106" t="str">
        <f>'F-1'!L5</f>
        <v>Preparer:  Seidman, F.</v>
      </c>
      <c r="R5" s="106"/>
    </row>
    <row r="6" spans="1:18" ht="12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2.75">
      <c r="A7" s="105" t="s">
        <v>27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2.75">
      <c r="A8" s="105" t="s">
        <v>28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2.75">
      <c r="A9" s="105" t="s">
        <v>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9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3:19" ht="12">
      <c r="C11" s="48" t="s">
        <v>89</v>
      </c>
      <c r="E11" s="48" t="s">
        <v>90</v>
      </c>
      <c r="G11" s="48" t="s">
        <v>91</v>
      </c>
      <c r="H11" s="4"/>
      <c r="I11" s="48" t="s">
        <v>92</v>
      </c>
      <c r="K11" s="48" t="s">
        <v>93</v>
      </c>
      <c r="L11" s="4"/>
      <c r="M11" s="48" t="s">
        <v>94</v>
      </c>
      <c r="N11" s="4"/>
      <c r="O11" s="48" t="s">
        <v>41</v>
      </c>
      <c r="P11" s="4"/>
      <c r="Q11" s="48" t="s">
        <v>42</v>
      </c>
      <c r="R11" s="4"/>
      <c r="S11" s="48" t="s">
        <v>45</v>
      </c>
    </row>
    <row r="12" spans="3:19" ht="12">
      <c r="C12" s="44"/>
      <c r="E12" s="114" t="s">
        <v>34</v>
      </c>
      <c r="F12" s="114"/>
      <c r="G12" s="114"/>
      <c r="H12" s="114"/>
      <c r="I12" s="114"/>
      <c r="K12" s="4" t="s">
        <v>38</v>
      </c>
      <c r="L12" s="4"/>
      <c r="M12" s="4" t="s">
        <v>39</v>
      </c>
      <c r="N12" s="4"/>
      <c r="O12" s="4" t="s">
        <v>107</v>
      </c>
      <c r="P12" s="4"/>
      <c r="Q12" s="4" t="s">
        <v>107</v>
      </c>
      <c r="R12" s="4"/>
      <c r="S12" s="4" t="s">
        <v>46</v>
      </c>
    </row>
    <row r="13" spans="1:19" ht="12">
      <c r="A13" s="2" t="s">
        <v>32</v>
      </c>
      <c r="C13" s="4"/>
      <c r="E13" s="42"/>
      <c r="F13" s="42"/>
      <c r="G13" s="42"/>
      <c r="H13" s="42"/>
      <c r="I13" s="42"/>
      <c r="K13" s="4" t="s">
        <v>99</v>
      </c>
      <c r="L13" s="4"/>
      <c r="M13" s="4" t="s">
        <v>38</v>
      </c>
      <c r="N13" s="4"/>
      <c r="O13" s="4" t="s">
        <v>99</v>
      </c>
      <c r="P13" s="4"/>
      <c r="Q13" s="4" t="s">
        <v>43</v>
      </c>
      <c r="R13" s="4"/>
      <c r="S13" s="4" t="s">
        <v>47</v>
      </c>
    </row>
    <row r="14" spans="1:19" ht="12">
      <c r="A14" s="2" t="s">
        <v>33</v>
      </c>
      <c r="C14" s="4" t="s">
        <v>102</v>
      </c>
      <c r="E14" s="4" t="s">
        <v>35</v>
      </c>
      <c r="F14" s="4"/>
      <c r="G14" s="4" t="s">
        <v>36</v>
      </c>
      <c r="H14" s="4"/>
      <c r="I14" s="4" t="s">
        <v>37</v>
      </c>
      <c r="K14" s="4" t="s">
        <v>104</v>
      </c>
      <c r="L14" s="4"/>
      <c r="M14" s="4" t="s">
        <v>40</v>
      </c>
      <c r="N14" s="4"/>
      <c r="O14" s="4" t="s">
        <v>104</v>
      </c>
      <c r="P14" s="4"/>
      <c r="Q14" s="4" t="s">
        <v>44</v>
      </c>
      <c r="R14" s="4"/>
      <c r="S14" s="4" t="s">
        <v>48</v>
      </c>
    </row>
    <row r="15" spans="1:19" ht="12">
      <c r="A15" s="42"/>
      <c r="C15" s="15"/>
      <c r="E15" s="42"/>
      <c r="G15" s="42"/>
      <c r="I15" s="42"/>
      <c r="K15" s="15"/>
      <c r="L15" s="4"/>
      <c r="M15" s="15"/>
      <c r="N15" s="4"/>
      <c r="O15" s="15"/>
      <c r="P15" s="4"/>
      <c r="Q15" s="15"/>
      <c r="R15" s="4"/>
      <c r="S15" s="15"/>
    </row>
    <row r="16" spans="3:19" ht="12">
      <c r="C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6.5">
      <c r="A17" s="4">
        <v>1</v>
      </c>
      <c r="C17" s="4">
        <v>2001</v>
      </c>
      <c r="E17" s="68">
        <v>66</v>
      </c>
      <c r="F17" s="68"/>
      <c r="G17" s="68">
        <v>69</v>
      </c>
      <c r="H17" s="68"/>
      <c r="I17" s="68">
        <f>+(E17+G17)/2</f>
        <v>67.5</v>
      </c>
      <c r="J17" s="69"/>
      <c r="K17" s="68">
        <v>2285113</v>
      </c>
      <c r="L17" s="68"/>
      <c r="M17" s="68">
        <f>+K17/I17</f>
        <v>33853.525925925926</v>
      </c>
      <c r="N17" s="68"/>
      <c r="O17" s="68">
        <v>2789693</v>
      </c>
      <c r="P17" s="68"/>
      <c r="Q17" s="68">
        <f>+O17/M17</f>
        <v>82.40479901869186</v>
      </c>
      <c r="R17" s="103"/>
      <c r="S17" s="71"/>
    </row>
    <row r="18" spans="1:19" ht="15.75">
      <c r="A18" s="4"/>
      <c r="C18" s="4"/>
      <c r="E18" s="68"/>
      <c r="F18" s="68"/>
      <c r="G18" s="68"/>
      <c r="H18" s="68"/>
      <c r="I18" s="68"/>
      <c r="J18" s="69"/>
      <c r="K18" s="68"/>
      <c r="L18" s="68"/>
      <c r="M18" s="68"/>
      <c r="N18" s="68"/>
      <c r="O18" s="68"/>
      <c r="P18" s="68"/>
      <c r="Q18" s="68"/>
      <c r="R18" s="70"/>
      <c r="S18" s="71"/>
    </row>
    <row r="19" spans="1:19" ht="16.5">
      <c r="A19" s="4">
        <v>2</v>
      </c>
      <c r="C19" s="4">
        <v>2002</v>
      </c>
      <c r="E19" s="68">
        <f>G17</f>
        <v>69</v>
      </c>
      <c r="F19" s="68"/>
      <c r="G19" s="68">
        <v>72</v>
      </c>
      <c r="H19" s="72"/>
      <c r="I19" s="68">
        <f>+(E19+G19)/2</f>
        <v>70.5</v>
      </c>
      <c r="J19" s="69"/>
      <c r="K19" s="68">
        <v>2608480</v>
      </c>
      <c r="L19" s="68"/>
      <c r="M19" s="68">
        <f>+K19/I19</f>
        <v>36999.716312056735</v>
      </c>
      <c r="N19" s="68"/>
      <c r="O19" s="68">
        <v>7507710</v>
      </c>
      <c r="P19" s="68"/>
      <c r="Q19" s="68">
        <f>+O19/M19</f>
        <v>202.91263686131387</v>
      </c>
      <c r="R19" s="70"/>
      <c r="S19" s="71">
        <f>+(Q19/Q17)-1</f>
        <v>1.4623885899568454</v>
      </c>
    </row>
    <row r="20" spans="1:19" ht="15.75">
      <c r="A20" s="4"/>
      <c r="C20" s="4"/>
      <c r="E20" s="68"/>
      <c r="F20" s="68"/>
      <c r="G20" s="68"/>
      <c r="H20" s="68"/>
      <c r="I20" s="68"/>
      <c r="J20" s="69"/>
      <c r="K20" s="68"/>
      <c r="L20" s="68"/>
      <c r="M20" s="68"/>
      <c r="N20" s="68"/>
      <c r="O20" s="68"/>
      <c r="P20" s="68"/>
      <c r="Q20" s="68"/>
      <c r="R20" s="70"/>
      <c r="S20" s="71"/>
    </row>
    <row r="21" spans="1:19" ht="15.75">
      <c r="A21" s="4">
        <v>3</v>
      </c>
      <c r="C21" s="4">
        <v>2003</v>
      </c>
      <c r="E21" s="68">
        <f>G19</f>
        <v>72</v>
      </c>
      <c r="F21" s="68"/>
      <c r="G21" s="68">
        <v>69</v>
      </c>
      <c r="H21" s="68"/>
      <c r="I21" s="68">
        <f>+(E21+G21)/2</f>
        <v>70.5</v>
      </c>
      <c r="J21" s="69"/>
      <c r="K21" s="68">
        <v>2791320</v>
      </c>
      <c r="L21" s="68"/>
      <c r="M21" s="68">
        <f>+K21/I21</f>
        <v>39593.1914893617</v>
      </c>
      <c r="N21" s="68"/>
      <c r="O21" s="68">
        <v>7776950</v>
      </c>
      <c r="P21" s="68"/>
      <c r="Q21" s="68">
        <f>+O21/M21</f>
        <v>196.42139740337905</v>
      </c>
      <c r="R21" s="70"/>
      <c r="S21" s="71">
        <f>+(Q21/Q19)-1</f>
        <v>-0.03199031641568695</v>
      </c>
    </row>
    <row r="22" spans="1:19" ht="15.75">
      <c r="A22" s="4"/>
      <c r="C22" s="4"/>
      <c r="E22" s="68"/>
      <c r="F22" s="68"/>
      <c r="G22" s="68"/>
      <c r="H22" s="68"/>
      <c r="I22" s="68"/>
      <c r="J22" s="69"/>
      <c r="K22" s="68"/>
      <c r="L22" s="68"/>
      <c r="M22" s="68"/>
      <c r="N22" s="68"/>
      <c r="O22" s="68"/>
      <c r="P22" s="68"/>
      <c r="Q22" s="68"/>
      <c r="R22" s="70"/>
      <c r="S22" s="71"/>
    </row>
    <row r="23" spans="1:19" ht="15.75">
      <c r="A23" s="4">
        <v>4</v>
      </c>
      <c r="C23" s="4">
        <v>2004</v>
      </c>
      <c r="E23" s="68">
        <f>G21</f>
        <v>69</v>
      </c>
      <c r="F23" s="68"/>
      <c r="G23" s="68">
        <v>71</v>
      </c>
      <c r="H23" s="68"/>
      <c r="I23" s="68">
        <f>+(E23+G23)/2</f>
        <v>70</v>
      </c>
      <c r="J23" s="69"/>
      <c r="K23" s="68">
        <v>2754400</v>
      </c>
      <c r="L23" s="68"/>
      <c r="M23" s="68">
        <f>+K23/I23</f>
        <v>39348.57142857143</v>
      </c>
      <c r="N23" s="68"/>
      <c r="O23" s="68">
        <v>8276582</v>
      </c>
      <c r="P23" s="68"/>
      <c r="Q23" s="68">
        <f>+O23/M23</f>
        <v>210.34008858553588</v>
      </c>
      <c r="R23" s="70"/>
      <c r="S23" s="71">
        <f>+(Q23/Q21)-1</f>
        <v>0.07086137949407223</v>
      </c>
    </row>
    <row r="24" spans="1:19" ht="15.75">
      <c r="A24" s="4"/>
      <c r="C24" s="4"/>
      <c r="E24" s="68"/>
      <c r="F24" s="68"/>
      <c r="G24" s="68"/>
      <c r="H24" s="68"/>
      <c r="I24" s="68"/>
      <c r="J24" s="69"/>
      <c r="K24" s="68"/>
      <c r="L24" s="68"/>
      <c r="M24" s="68"/>
      <c r="N24" s="68"/>
      <c r="O24" s="68"/>
      <c r="P24" s="68"/>
      <c r="Q24" s="68"/>
      <c r="R24" s="70"/>
      <c r="S24" s="71"/>
    </row>
    <row r="25" spans="1:19" ht="15.75">
      <c r="A25" s="4">
        <v>5</v>
      </c>
      <c r="C25" s="4">
        <v>2005</v>
      </c>
      <c r="E25" s="68">
        <f>G23</f>
        <v>71</v>
      </c>
      <c r="F25" s="68"/>
      <c r="G25" s="68">
        <v>70</v>
      </c>
      <c r="H25" s="68"/>
      <c r="I25" s="68">
        <f>+(E25+G25)/2</f>
        <v>70.5</v>
      </c>
      <c r="J25" s="69"/>
      <c r="K25" s="68">
        <v>2508000</v>
      </c>
      <c r="L25" s="68"/>
      <c r="M25" s="68">
        <f>+K25/I25</f>
        <v>35574.46808510638</v>
      </c>
      <c r="N25" s="68"/>
      <c r="O25" s="68">
        <v>8036000</v>
      </c>
      <c r="P25" s="68"/>
      <c r="Q25" s="68">
        <f>+O25/M25</f>
        <v>225.89234449760767</v>
      </c>
      <c r="R25" s="70"/>
      <c r="S25" s="71">
        <f>+(Q25/Q23)-1</f>
        <v>0.07393862014918473</v>
      </c>
    </row>
    <row r="26" spans="1:19" ht="16.5" thickBot="1">
      <c r="A26" s="4"/>
      <c r="E26" s="73"/>
      <c r="F26" s="73"/>
      <c r="G26" s="73"/>
      <c r="H26" s="73"/>
      <c r="I26" s="73"/>
      <c r="J26" s="73"/>
      <c r="K26" s="70"/>
      <c r="L26" s="70"/>
      <c r="M26" s="70"/>
      <c r="N26" s="70"/>
      <c r="O26" s="74" t="s">
        <v>49</v>
      </c>
      <c r="P26" s="70"/>
      <c r="Q26" s="70"/>
      <c r="R26" s="70"/>
      <c r="S26" s="75">
        <f>AVERAGE(S19:S25)</f>
        <v>0.39379956829610385</v>
      </c>
    </row>
    <row r="27" spans="5:19" ht="16.5" thickTop="1"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5:19" ht="15.75">
      <c r="E28" s="73"/>
      <c r="F28" s="73"/>
      <c r="G28" s="73"/>
      <c r="H28" s="73" t="s">
        <v>212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6"/>
    </row>
    <row r="29" spans="3:19" ht="15.75">
      <c r="C29" s="38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7" t="s">
        <v>213</v>
      </c>
      <c r="Q29" s="78" t="s">
        <v>214</v>
      </c>
      <c r="R29" s="73"/>
      <c r="S29" s="73"/>
    </row>
    <row r="30" spans="3:19" ht="15.75">
      <c r="C30" s="38"/>
      <c r="E30" s="73"/>
      <c r="F30" s="73"/>
      <c r="G30" s="73"/>
      <c r="H30" s="73"/>
      <c r="I30" s="73"/>
      <c r="J30" s="73" t="s">
        <v>215</v>
      </c>
      <c r="K30" s="73"/>
      <c r="L30" s="73"/>
      <c r="M30" s="73">
        <f>INTERCEPT(Q30:Q34,P30:P34)</f>
        <v>95.27349046868963</v>
      </c>
      <c r="N30" s="73"/>
      <c r="O30" s="70"/>
      <c r="P30" s="73">
        <v>1</v>
      </c>
      <c r="Q30" s="68">
        <f>+Q17</f>
        <v>82.40479901869186</v>
      </c>
      <c r="R30" s="73"/>
      <c r="S30" s="73"/>
    </row>
    <row r="31" spans="3:19" ht="15.75">
      <c r="C31" s="38"/>
      <c r="E31" s="73"/>
      <c r="F31" s="73"/>
      <c r="G31" s="73"/>
      <c r="H31" s="73"/>
      <c r="I31" s="73"/>
      <c r="J31" s="73" t="s">
        <v>216</v>
      </c>
      <c r="K31" s="73"/>
      <c r="L31" s="73"/>
      <c r="M31" s="73">
        <f>SLOPE(Q30:Q34,P30:P34)</f>
        <v>29.440254268205354</v>
      </c>
      <c r="N31" s="73"/>
      <c r="O31" s="73"/>
      <c r="P31" s="73">
        <v>2</v>
      </c>
      <c r="Q31" s="68">
        <f>+Q19</f>
        <v>202.91263686131387</v>
      </c>
      <c r="R31" s="73"/>
      <c r="S31" s="73"/>
    </row>
    <row r="32" spans="5:19" ht="15.75">
      <c r="E32" s="73"/>
      <c r="F32" s="73"/>
      <c r="G32" s="73"/>
      <c r="H32" s="73"/>
      <c r="I32" s="73"/>
      <c r="J32" s="73" t="s">
        <v>217</v>
      </c>
      <c r="K32" s="73"/>
      <c r="L32" s="73"/>
      <c r="M32" s="73">
        <f>RSQ(Q30:Q34,P30:P34)</f>
        <v>0.6525828819138276</v>
      </c>
      <c r="N32" s="73"/>
      <c r="O32" s="73"/>
      <c r="P32" s="73">
        <v>3</v>
      </c>
      <c r="Q32" s="68">
        <f>+Q21</f>
        <v>196.42139740337905</v>
      </c>
      <c r="R32" s="73"/>
      <c r="S32" s="73"/>
    </row>
    <row r="33" spans="1:19" ht="15.75">
      <c r="A33" s="1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>
        <v>4</v>
      </c>
      <c r="Q33" s="68">
        <f>+Q23</f>
        <v>210.34008858553588</v>
      </c>
      <c r="R33" s="73"/>
      <c r="S33" s="73"/>
    </row>
    <row r="34" spans="1:19" ht="15.75">
      <c r="A34" s="1"/>
      <c r="E34" s="73"/>
      <c r="F34" s="73"/>
      <c r="G34" s="73"/>
      <c r="H34" s="73"/>
      <c r="I34" s="73"/>
      <c r="J34" s="73"/>
      <c r="K34" s="73"/>
      <c r="L34" s="73"/>
      <c r="M34" s="79"/>
      <c r="N34" s="73"/>
      <c r="O34" s="73"/>
      <c r="P34" s="73">
        <v>5</v>
      </c>
      <c r="Q34" s="68">
        <f>+Q25</f>
        <v>225.89234449760767</v>
      </c>
      <c r="R34" s="73"/>
      <c r="S34" s="73"/>
    </row>
    <row r="35" spans="1:19" ht="15.75">
      <c r="A35" s="1"/>
      <c r="E35" s="73"/>
      <c r="F35" s="73"/>
      <c r="G35" s="73"/>
      <c r="H35" s="73"/>
      <c r="I35" s="73"/>
      <c r="J35" s="73"/>
      <c r="K35" s="73"/>
      <c r="L35" s="73"/>
      <c r="M35" s="79"/>
      <c r="N35" s="73"/>
      <c r="O35" s="73"/>
      <c r="P35" s="73">
        <v>10</v>
      </c>
      <c r="Q35" s="68">
        <f>M30+M31*P35</f>
        <v>389.67603315074314</v>
      </c>
      <c r="R35" s="73"/>
      <c r="S35" s="73"/>
    </row>
    <row r="36" spans="1:19" ht="15.75">
      <c r="A36" s="1"/>
      <c r="E36" s="73"/>
      <c r="F36" s="73"/>
      <c r="G36" s="73"/>
      <c r="H36" s="73"/>
      <c r="I36" s="73"/>
      <c r="J36" s="73"/>
      <c r="K36" s="73"/>
      <c r="L36" s="73"/>
      <c r="M36" s="79"/>
      <c r="N36" s="73"/>
      <c r="O36" s="73"/>
      <c r="P36" s="73"/>
      <c r="Q36" s="68"/>
      <c r="R36" s="73"/>
      <c r="S36" s="73"/>
    </row>
    <row r="37" spans="1:19" ht="15.75">
      <c r="A37" s="1"/>
      <c r="E37" s="73"/>
      <c r="F37" s="73"/>
      <c r="G37" s="73"/>
      <c r="H37" s="73"/>
      <c r="I37" s="73"/>
      <c r="J37" s="73"/>
      <c r="K37" s="73" t="s">
        <v>246</v>
      </c>
      <c r="L37" s="73"/>
      <c r="M37" s="79"/>
      <c r="N37" s="73"/>
      <c r="O37" s="73"/>
      <c r="P37" s="73"/>
      <c r="Q37" s="80">
        <f>Q35-Q34</f>
        <v>163.78368865313547</v>
      </c>
      <c r="R37" s="73"/>
      <c r="S37" s="73"/>
    </row>
    <row r="38" spans="1:19" ht="15.75">
      <c r="A38" s="1"/>
      <c r="E38" s="73"/>
      <c r="F38" s="73"/>
      <c r="G38" s="73"/>
      <c r="H38" s="73"/>
      <c r="I38" s="73"/>
      <c r="J38" s="73"/>
      <c r="K38" s="73" t="s">
        <v>247</v>
      </c>
      <c r="L38" s="73"/>
      <c r="M38" s="79"/>
      <c r="N38" s="73"/>
      <c r="O38" s="73"/>
      <c r="P38" s="73"/>
      <c r="Q38" s="80">
        <f>Q37/5</f>
        <v>32.756737730627094</v>
      </c>
      <c r="R38" s="73"/>
      <c r="S38" s="73"/>
    </row>
    <row r="39" spans="1:19" ht="15.75">
      <c r="A39" s="1"/>
      <c r="E39" s="73"/>
      <c r="F39" s="73"/>
      <c r="G39" s="73"/>
      <c r="H39" s="73"/>
      <c r="I39" s="73"/>
      <c r="J39" s="73"/>
      <c r="K39" s="73"/>
      <c r="L39" s="73"/>
      <c r="M39" s="79"/>
      <c r="N39" s="73"/>
      <c r="O39" s="73"/>
      <c r="P39" s="73"/>
      <c r="Q39" s="68"/>
      <c r="R39" s="73"/>
      <c r="S39" s="73"/>
    </row>
    <row r="40" spans="1:13" ht="12">
      <c r="A40" s="1"/>
      <c r="M40" s="1"/>
    </row>
    <row r="41" spans="1:13" ht="15">
      <c r="A41" s="1"/>
      <c r="C41" s="83" t="s">
        <v>248</v>
      </c>
      <c r="M41" s="1"/>
    </row>
    <row r="42" spans="1:13" ht="15">
      <c r="A42" s="1"/>
      <c r="C42" s="83" t="s">
        <v>249</v>
      </c>
      <c r="M42" s="1"/>
    </row>
    <row r="43" spans="1:13" ht="15">
      <c r="A43" s="1"/>
      <c r="C43" s="83" t="s">
        <v>250</v>
      </c>
      <c r="M43" s="1"/>
    </row>
    <row r="44" spans="1:13" ht="15">
      <c r="A44" s="1"/>
      <c r="C44" s="83" t="s">
        <v>251</v>
      </c>
      <c r="M44" s="1"/>
    </row>
    <row r="45" spans="1:13" ht="14.25">
      <c r="A45" s="1"/>
      <c r="C45" s="84"/>
      <c r="M45" s="1"/>
    </row>
    <row r="46" spans="1:13" ht="14.25">
      <c r="A46" s="1"/>
      <c r="C46" s="84"/>
      <c r="M46" s="1"/>
    </row>
    <row r="47" spans="1:17" ht="15.75">
      <c r="A47" s="1"/>
      <c r="C47" s="84"/>
      <c r="H47" s="73" t="s">
        <v>212</v>
      </c>
      <c r="I47" s="73"/>
      <c r="J47" s="73"/>
      <c r="K47" s="73"/>
      <c r="L47" s="73"/>
      <c r="M47" s="73"/>
      <c r="N47" s="73"/>
      <c r="O47" s="73"/>
      <c r="P47" s="73"/>
      <c r="Q47" s="73"/>
    </row>
    <row r="48" spans="1:17" ht="15.75">
      <c r="A48" s="1"/>
      <c r="C48" s="84"/>
      <c r="H48" s="73"/>
      <c r="I48" s="73"/>
      <c r="J48" s="73"/>
      <c r="K48" s="73"/>
      <c r="L48" s="73"/>
      <c r="M48" s="73"/>
      <c r="N48" s="73"/>
      <c r="O48" s="73"/>
      <c r="P48" s="77" t="s">
        <v>213</v>
      </c>
      <c r="Q48" s="78" t="s">
        <v>214</v>
      </c>
    </row>
    <row r="49" spans="1:17" ht="15.75">
      <c r="A49" s="1"/>
      <c r="H49" s="73"/>
      <c r="I49" s="73"/>
      <c r="J49" s="73" t="s">
        <v>215</v>
      </c>
      <c r="K49" s="73"/>
      <c r="L49" s="73"/>
      <c r="M49" s="73">
        <f>INTERCEPT(Q49:Q52,P49:P52)</f>
        <v>188.17716331419996</v>
      </c>
      <c r="N49" s="73"/>
      <c r="O49" s="70"/>
      <c r="P49" s="73">
        <v>1</v>
      </c>
      <c r="Q49" s="68">
        <f>Q19</f>
        <v>202.91263686131387</v>
      </c>
    </row>
    <row r="50" spans="1:17" ht="15.75">
      <c r="A50" s="1"/>
      <c r="H50" s="73"/>
      <c r="I50" s="73"/>
      <c r="J50" s="73" t="s">
        <v>216</v>
      </c>
      <c r="K50" s="73"/>
      <c r="L50" s="73"/>
      <c r="M50" s="73">
        <f>SLOPE(Q49:Q52,P49:P52)</f>
        <v>8.285781409103674</v>
      </c>
      <c r="N50" s="73"/>
      <c r="O50" s="73"/>
      <c r="P50" s="73">
        <v>2</v>
      </c>
      <c r="Q50" s="68">
        <f>Q21</f>
        <v>196.42139740337905</v>
      </c>
    </row>
    <row r="51" spans="1:17" ht="15.75">
      <c r="A51" s="1"/>
      <c r="H51" s="73"/>
      <c r="I51" s="73"/>
      <c r="J51" s="73" t="s">
        <v>217</v>
      </c>
      <c r="K51" s="73"/>
      <c r="L51" s="73"/>
      <c r="M51" s="73">
        <f>RSQ(Q49:Q52,P49:P52)</f>
        <v>0.7116230528124052</v>
      </c>
      <c r="N51" s="73"/>
      <c r="O51" s="73"/>
      <c r="P51" s="73">
        <v>3</v>
      </c>
      <c r="Q51" s="68">
        <f>Q23</f>
        <v>210.34008858553588</v>
      </c>
    </row>
    <row r="52" spans="1:17" ht="15.75">
      <c r="A52" s="1"/>
      <c r="H52" s="73"/>
      <c r="I52" s="73"/>
      <c r="J52" s="73"/>
      <c r="K52" s="73"/>
      <c r="L52" s="73"/>
      <c r="M52" s="73"/>
      <c r="N52" s="73"/>
      <c r="O52" s="73"/>
      <c r="P52" s="73">
        <v>4</v>
      </c>
      <c r="Q52" s="68">
        <f>Q25</f>
        <v>225.89234449760767</v>
      </c>
    </row>
    <row r="53" spans="1:17" ht="15.75">
      <c r="A53" s="1"/>
      <c r="H53" s="73"/>
      <c r="I53" s="73"/>
      <c r="J53" s="73"/>
      <c r="K53" s="73"/>
      <c r="L53" s="73"/>
      <c r="M53" s="79"/>
      <c r="N53" s="73"/>
      <c r="O53" s="73"/>
      <c r="P53" s="73">
        <v>9</v>
      </c>
      <c r="Q53" s="68">
        <f>M49+M50*P53</f>
        <v>262.74919599613304</v>
      </c>
    </row>
    <row r="54" spans="1:17" ht="15.75">
      <c r="A54" s="1"/>
      <c r="H54" s="73"/>
      <c r="I54" s="73"/>
      <c r="J54" s="73"/>
      <c r="K54" s="73"/>
      <c r="L54" s="73"/>
      <c r="M54" s="79"/>
      <c r="N54" s="73"/>
      <c r="O54" s="73"/>
      <c r="P54" s="73"/>
      <c r="Q54" s="68"/>
    </row>
    <row r="55" spans="1:17" ht="15.75">
      <c r="A55" s="1"/>
      <c r="H55" s="73"/>
      <c r="I55" s="73"/>
      <c r="J55" s="73"/>
      <c r="K55" s="73"/>
      <c r="L55" s="73"/>
      <c r="M55" s="79"/>
      <c r="N55" s="73"/>
      <c r="O55" s="73"/>
      <c r="P55" s="73"/>
      <c r="Q55" s="68"/>
    </row>
    <row r="56" spans="1:17" ht="15.75">
      <c r="A56" s="1"/>
      <c r="H56" s="73"/>
      <c r="I56" s="73"/>
      <c r="J56" s="73"/>
      <c r="K56" s="73" t="s">
        <v>246</v>
      </c>
      <c r="L56" s="73"/>
      <c r="M56" s="79"/>
      <c r="N56" s="73"/>
      <c r="O56" s="73"/>
      <c r="P56" s="73"/>
      <c r="Q56" s="80">
        <f>Q53-Q52</f>
        <v>36.85685149852537</v>
      </c>
    </row>
    <row r="57" spans="1:17" ht="15.75">
      <c r="A57" s="1"/>
      <c r="H57" s="73"/>
      <c r="I57" s="73"/>
      <c r="J57" s="73"/>
      <c r="K57" s="73" t="s">
        <v>247</v>
      </c>
      <c r="L57" s="73"/>
      <c r="M57" s="79"/>
      <c r="N57" s="73"/>
      <c r="O57" s="73"/>
      <c r="P57" s="73"/>
      <c r="Q57" s="80">
        <f>Q56/5</f>
        <v>7.371370299705075</v>
      </c>
    </row>
    <row r="58" spans="1:13" ht="12">
      <c r="A58" s="1"/>
      <c r="M58" s="1"/>
    </row>
    <row r="59" spans="1:13" ht="12">
      <c r="A59" s="1"/>
      <c r="M59" s="1"/>
    </row>
    <row r="60" spans="1:13" ht="12">
      <c r="A60" s="1"/>
      <c r="M60" s="1"/>
    </row>
    <row r="61" spans="1:13" ht="12">
      <c r="A61" s="1"/>
      <c r="M61" s="1"/>
    </row>
    <row r="62" spans="1:13" ht="12">
      <c r="A62" s="1"/>
      <c r="M62" s="1"/>
    </row>
    <row r="63" spans="11:12" ht="18.75">
      <c r="K63" s="8"/>
      <c r="L63" s="43"/>
    </row>
    <row r="64" spans="1:13" ht="12">
      <c r="A64" s="1"/>
      <c r="M64" s="1"/>
    </row>
    <row r="65" spans="1:13" ht="12">
      <c r="A65" s="1"/>
      <c r="M65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1"/>
  <sheetViews>
    <sheetView showGridLines="0" workbookViewId="0" topLeftCell="N11">
      <selection activeCell="Q31" sqref="Q31"/>
    </sheetView>
  </sheetViews>
  <sheetFormatPr defaultColWidth="9.00390625" defaultRowHeight="12.75"/>
  <cols>
    <col min="1" max="1" width="11.75390625" style="2" customWidth="1"/>
    <col min="2" max="2" width="2.75390625" style="2" customWidth="1"/>
    <col min="3" max="3" width="12.75390625" style="2" customWidth="1"/>
    <col min="4" max="4" width="2.75390625" style="2" customWidth="1"/>
    <col min="5" max="5" width="12.75390625" style="2" customWidth="1"/>
    <col min="6" max="6" width="2.75390625" style="2" customWidth="1"/>
    <col min="7" max="7" width="12.75390625" style="2" customWidth="1"/>
    <col min="8" max="8" width="2.75390625" style="2" customWidth="1"/>
    <col min="9" max="9" width="12.75390625" style="2" customWidth="1"/>
    <col min="10" max="10" width="2.75390625" style="2" customWidth="1"/>
    <col min="11" max="11" width="14.75390625" style="11" customWidth="1"/>
    <col min="12" max="12" width="2.75390625" style="2" customWidth="1"/>
    <col min="13" max="13" width="12.75390625" style="2" customWidth="1"/>
    <col min="14" max="193" width="8.75390625" style="2" customWidth="1"/>
    <col min="194" max="16384" width="10.75390625" style="2" customWidth="1"/>
  </cols>
  <sheetData>
    <row r="1" spans="1:12" ht="12.75">
      <c r="A1" s="105" t="s">
        <v>109</v>
      </c>
      <c r="B1" s="106"/>
      <c r="C1" s="106"/>
      <c r="D1" s="106"/>
      <c r="E1" s="106"/>
      <c r="F1" s="106"/>
      <c r="G1" s="106"/>
      <c r="H1" s="106"/>
      <c r="I1" s="106"/>
      <c r="J1" s="105" t="s">
        <v>80</v>
      </c>
      <c r="K1" s="108"/>
      <c r="L1" s="106"/>
    </row>
    <row r="2" spans="1:12" ht="12.75">
      <c r="A2" s="105" t="s">
        <v>81</v>
      </c>
      <c r="B2" s="106"/>
      <c r="C2" s="106"/>
      <c r="D2" s="106"/>
      <c r="E2" s="106"/>
      <c r="F2" s="106"/>
      <c r="G2" s="106"/>
      <c r="H2" s="106"/>
      <c r="I2" s="106"/>
      <c r="J2" s="106"/>
      <c r="K2" s="108"/>
      <c r="L2" s="106"/>
    </row>
    <row r="3" spans="1:12" ht="12.75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8"/>
      <c r="L3" s="105" t="s">
        <v>110</v>
      </c>
    </row>
    <row r="4" spans="1:12" ht="12.75">
      <c r="A4" s="105" t="str">
        <f>'F-1'!A4</f>
        <v>Company:  Utilities, Inc. of Florida (630/635-Golden Hills/Crownwood)</v>
      </c>
      <c r="B4" s="106"/>
      <c r="C4" s="106"/>
      <c r="D4" s="106"/>
      <c r="E4" s="106"/>
      <c r="F4" s="106"/>
      <c r="G4" s="106"/>
      <c r="H4" s="106"/>
      <c r="I4" s="106"/>
      <c r="J4" s="106"/>
      <c r="K4" s="108"/>
      <c r="L4" s="105" t="s">
        <v>83</v>
      </c>
    </row>
    <row r="5" spans="1:12" ht="12.75">
      <c r="A5" s="105" t="str">
        <f>'F-1'!A5</f>
        <v>Docket No.: 060253-WS</v>
      </c>
      <c r="B5" s="106"/>
      <c r="C5" s="106"/>
      <c r="D5" s="106"/>
      <c r="E5" s="106"/>
      <c r="F5" s="106"/>
      <c r="G5" s="106"/>
      <c r="H5" s="106"/>
      <c r="I5" s="106"/>
      <c r="J5" s="106"/>
      <c r="K5" s="108"/>
      <c r="L5" s="105" t="str">
        <f>'F-1'!L5</f>
        <v>Preparer:  Seidman, F.</v>
      </c>
    </row>
    <row r="6" spans="1:12" ht="12.75">
      <c r="A6" s="105" t="str">
        <f>'F-1'!A6</f>
        <v>Test Year Ended:  December 31, 2005</v>
      </c>
      <c r="B6" s="106"/>
      <c r="C6" s="109"/>
      <c r="D6" s="106"/>
      <c r="E6" s="106"/>
      <c r="F6" s="106"/>
      <c r="G6" s="106"/>
      <c r="H6" s="106"/>
      <c r="I6" s="106"/>
      <c r="J6" s="106"/>
      <c r="K6" s="108"/>
      <c r="L6" s="106"/>
    </row>
    <row r="7" spans="1:12" ht="12.7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8"/>
      <c r="L7" s="106"/>
    </row>
    <row r="8" spans="1:12" ht="12.75">
      <c r="A8" s="105" t="s">
        <v>114</v>
      </c>
      <c r="B8" s="106"/>
      <c r="C8" s="106"/>
      <c r="D8" s="106"/>
      <c r="E8" s="106"/>
      <c r="F8" s="106"/>
      <c r="G8" s="106"/>
      <c r="H8" s="106"/>
      <c r="I8" s="106"/>
      <c r="J8" s="106"/>
      <c r="K8" s="108"/>
      <c r="L8" s="106"/>
    </row>
    <row r="9" spans="1:12" ht="12.75">
      <c r="A9" s="105" t="s">
        <v>167</v>
      </c>
      <c r="B9" s="106"/>
      <c r="C9" s="106"/>
      <c r="D9" s="106"/>
      <c r="E9" s="106"/>
      <c r="F9" s="106"/>
      <c r="G9" s="106"/>
      <c r="H9" s="106"/>
      <c r="I9" s="106"/>
      <c r="J9" s="106"/>
      <c r="K9" s="108"/>
      <c r="L9" s="106"/>
    </row>
    <row r="10" spans="1:13" ht="12">
      <c r="A10" s="3" t="s">
        <v>88</v>
      </c>
      <c r="B10" s="3" t="s">
        <v>88</v>
      </c>
      <c r="C10" s="3" t="s">
        <v>88</v>
      </c>
      <c r="D10" s="3" t="s">
        <v>88</v>
      </c>
      <c r="E10" s="3" t="s">
        <v>88</v>
      </c>
      <c r="F10" s="3" t="s">
        <v>88</v>
      </c>
      <c r="G10" s="3" t="s">
        <v>88</v>
      </c>
      <c r="H10" s="3" t="s">
        <v>88</v>
      </c>
      <c r="I10" s="3" t="s">
        <v>88</v>
      </c>
      <c r="J10" s="3" t="s">
        <v>88</v>
      </c>
      <c r="K10" s="12" t="s">
        <v>88</v>
      </c>
      <c r="L10" s="3" t="s">
        <v>88</v>
      </c>
      <c r="M10" s="3" t="s">
        <v>88</v>
      </c>
    </row>
    <row r="11" spans="3:13" ht="12">
      <c r="C11" s="4" t="s">
        <v>89</v>
      </c>
      <c r="E11" s="4" t="s">
        <v>90</v>
      </c>
      <c r="G11" s="4" t="s">
        <v>91</v>
      </c>
      <c r="I11" s="4" t="s">
        <v>92</v>
      </c>
      <c r="K11" s="13" t="s">
        <v>93</v>
      </c>
      <c r="M11" s="4" t="s">
        <v>94</v>
      </c>
    </row>
    <row r="12" spans="5:13" ht="12">
      <c r="E12" s="14" t="s">
        <v>115</v>
      </c>
      <c r="F12" s="14"/>
      <c r="G12" s="14"/>
      <c r="M12" s="4" t="s">
        <v>116</v>
      </c>
    </row>
    <row r="13" spans="1:23" ht="12">
      <c r="A13" s="4" t="s">
        <v>97</v>
      </c>
      <c r="C13" s="3" t="s">
        <v>88</v>
      </c>
      <c r="D13" s="3" t="s">
        <v>88</v>
      </c>
      <c r="E13" s="3" t="s">
        <v>88</v>
      </c>
      <c r="F13" s="3" t="s">
        <v>88</v>
      </c>
      <c r="G13" s="3" t="s">
        <v>88</v>
      </c>
      <c r="H13" s="3" t="s">
        <v>88</v>
      </c>
      <c r="I13" s="3" t="s">
        <v>88</v>
      </c>
      <c r="K13" s="13" t="s">
        <v>117</v>
      </c>
      <c r="M13" s="4" t="s">
        <v>118</v>
      </c>
      <c r="V13" s="4"/>
      <c r="W13" s="4"/>
    </row>
    <row r="14" spans="1:23" ht="12">
      <c r="A14" s="4" t="s">
        <v>102</v>
      </c>
      <c r="C14" s="4" t="s">
        <v>219</v>
      </c>
      <c r="E14" s="4" t="s">
        <v>119</v>
      </c>
      <c r="G14" s="4" t="s">
        <v>119</v>
      </c>
      <c r="I14" s="4" t="s">
        <v>119</v>
      </c>
      <c r="K14" s="13" t="s">
        <v>120</v>
      </c>
      <c r="M14" s="4" t="s">
        <v>121</v>
      </c>
      <c r="P14" s="4" t="s">
        <v>175</v>
      </c>
      <c r="Q14" s="4" t="s">
        <v>176</v>
      </c>
      <c r="S14" s="4"/>
      <c r="T14" s="4"/>
      <c r="U14" s="4"/>
      <c r="V14" s="4"/>
      <c r="W14" s="4"/>
    </row>
    <row r="15" spans="1:13" ht="12">
      <c r="A15" s="3" t="s">
        <v>88</v>
      </c>
      <c r="C15" s="15"/>
      <c r="E15" s="3" t="s">
        <v>88</v>
      </c>
      <c r="G15" s="3" t="s">
        <v>88</v>
      </c>
      <c r="I15" s="3" t="s">
        <v>88</v>
      </c>
      <c r="K15" s="12" t="s">
        <v>88</v>
      </c>
      <c r="M15" s="3" t="s">
        <v>88</v>
      </c>
    </row>
    <row r="16" spans="1:17" ht="12">
      <c r="A16" s="9">
        <v>38353</v>
      </c>
      <c r="C16" s="10">
        <v>0.62</v>
      </c>
      <c r="D16" s="10"/>
      <c r="E16" s="10"/>
      <c r="F16" s="10"/>
      <c r="G16" s="10"/>
      <c r="H16" s="10"/>
      <c r="I16" s="10"/>
      <c r="J16" s="10"/>
      <c r="K16" s="10">
        <f aca="true" t="shared" si="0" ref="K16:K27">C16+E16+G16+I16</f>
        <v>0.62</v>
      </c>
      <c r="L16" s="10"/>
      <c r="M16" s="10">
        <v>0</v>
      </c>
      <c r="P16" s="60">
        <f>+K16/31</f>
        <v>0.02</v>
      </c>
      <c r="Q16" s="60"/>
    </row>
    <row r="17" spans="1:17" ht="12">
      <c r="A17" s="9">
        <v>38384</v>
      </c>
      <c r="C17" s="10">
        <v>0.606</v>
      </c>
      <c r="D17" s="10"/>
      <c r="E17" s="10"/>
      <c r="F17" s="10"/>
      <c r="G17" s="10"/>
      <c r="H17" s="10"/>
      <c r="I17" s="10"/>
      <c r="J17" s="10"/>
      <c r="K17" s="10">
        <f t="shared" si="0"/>
        <v>0.606</v>
      </c>
      <c r="L17" s="10"/>
      <c r="M17" s="10">
        <v>0</v>
      </c>
      <c r="P17" s="60">
        <f>+K17/28</f>
        <v>0.02164285714285714</v>
      </c>
      <c r="Q17" s="60"/>
    </row>
    <row r="18" spans="1:17" ht="12">
      <c r="A18" s="9">
        <v>38412</v>
      </c>
      <c r="C18" s="10">
        <v>0.737</v>
      </c>
      <c r="D18" s="10"/>
      <c r="E18" s="10"/>
      <c r="F18" s="10"/>
      <c r="G18" s="10"/>
      <c r="H18" s="10"/>
      <c r="I18" s="10"/>
      <c r="J18" s="10"/>
      <c r="K18" s="10">
        <f t="shared" si="0"/>
        <v>0.737</v>
      </c>
      <c r="L18" s="10"/>
      <c r="M18" s="10">
        <v>0</v>
      </c>
      <c r="P18" s="60">
        <f aca="true" t="shared" si="1" ref="P18:P27">+K18/31</f>
        <v>0.023774193548387095</v>
      </c>
      <c r="Q18" s="60">
        <f>SUM(P16:P18)/3</f>
        <v>0.02180568356374808</v>
      </c>
    </row>
    <row r="19" spans="1:22" ht="12">
      <c r="A19" s="9">
        <v>38443</v>
      </c>
      <c r="C19" s="10">
        <v>0.693</v>
      </c>
      <c r="D19" s="10"/>
      <c r="E19" s="10"/>
      <c r="F19" s="10"/>
      <c r="G19" s="10"/>
      <c r="H19" s="10"/>
      <c r="I19" s="10"/>
      <c r="J19" s="10"/>
      <c r="K19" s="10">
        <f t="shared" si="0"/>
        <v>0.693</v>
      </c>
      <c r="L19" s="10"/>
      <c r="M19" s="10">
        <v>0</v>
      </c>
      <c r="P19" s="60">
        <f>+K19/30</f>
        <v>0.0231</v>
      </c>
      <c r="Q19" s="60">
        <f aca="true" t="shared" si="2" ref="Q19:Q27">SUM(P17:P19)/3</f>
        <v>0.022839016897081413</v>
      </c>
      <c r="S19" s="10"/>
      <c r="T19" s="10"/>
      <c r="U19" s="10"/>
      <c r="V19" s="60"/>
    </row>
    <row r="20" spans="1:22" ht="12">
      <c r="A20" s="9">
        <v>38473</v>
      </c>
      <c r="C20" s="10">
        <v>0.629</v>
      </c>
      <c r="D20" s="10"/>
      <c r="E20" s="10"/>
      <c r="F20" s="10"/>
      <c r="G20" s="10"/>
      <c r="H20" s="10"/>
      <c r="I20" s="10"/>
      <c r="J20" s="10"/>
      <c r="K20" s="10">
        <f t="shared" si="0"/>
        <v>0.629</v>
      </c>
      <c r="L20" s="10"/>
      <c r="M20" s="10">
        <v>0</v>
      </c>
      <c r="P20" s="60">
        <f t="shared" si="1"/>
        <v>0.02029032258064516</v>
      </c>
      <c r="Q20" s="60">
        <f t="shared" si="2"/>
        <v>0.02238817204301075</v>
      </c>
      <c r="S20" s="10"/>
      <c r="T20" s="10"/>
      <c r="U20" s="10"/>
      <c r="V20" s="60"/>
    </row>
    <row r="21" spans="1:23" ht="12">
      <c r="A21" s="9">
        <v>38504</v>
      </c>
      <c r="C21" s="10">
        <v>0.628</v>
      </c>
      <c r="D21" s="10"/>
      <c r="E21" s="10"/>
      <c r="F21" s="10"/>
      <c r="G21" s="10"/>
      <c r="H21" s="10"/>
      <c r="I21" s="10"/>
      <c r="J21" s="10"/>
      <c r="K21" s="10">
        <f t="shared" si="0"/>
        <v>0.628</v>
      </c>
      <c r="L21" s="10"/>
      <c r="M21" s="10">
        <v>0</v>
      </c>
      <c r="P21" s="60">
        <f>+K21/30</f>
        <v>0.020933333333333335</v>
      </c>
      <c r="Q21" s="60">
        <f t="shared" si="2"/>
        <v>0.021441218637992834</v>
      </c>
      <c r="S21" s="10"/>
      <c r="T21" s="10"/>
      <c r="U21" s="10"/>
      <c r="V21" s="60"/>
      <c r="W21" s="60"/>
    </row>
    <row r="22" spans="1:23" ht="12">
      <c r="A22" s="9">
        <v>38534</v>
      </c>
      <c r="C22" s="10">
        <v>0.714</v>
      </c>
      <c r="D22" s="10"/>
      <c r="E22" s="10"/>
      <c r="F22" s="10"/>
      <c r="G22" s="10"/>
      <c r="H22" s="10"/>
      <c r="I22" s="10"/>
      <c r="J22" s="10"/>
      <c r="K22" s="10">
        <f t="shared" si="0"/>
        <v>0.714</v>
      </c>
      <c r="L22" s="10"/>
      <c r="M22" s="10">
        <v>0</v>
      </c>
      <c r="P22" s="60">
        <f t="shared" si="1"/>
        <v>0.02303225806451613</v>
      </c>
      <c r="Q22" s="60">
        <f t="shared" si="2"/>
        <v>0.02141863799283154</v>
      </c>
      <c r="S22" s="10"/>
      <c r="T22" s="10"/>
      <c r="U22" s="10"/>
      <c r="V22" s="60"/>
      <c r="W22" s="60"/>
    </row>
    <row r="23" spans="1:23" ht="12">
      <c r="A23" s="9">
        <v>38565</v>
      </c>
      <c r="C23" s="10">
        <v>0.67</v>
      </c>
      <c r="D23" s="10"/>
      <c r="E23" s="10"/>
      <c r="F23" s="10"/>
      <c r="G23" s="10"/>
      <c r="H23" s="10"/>
      <c r="I23" s="10"/>
      <c r="J23" s="10"/>
      <c r="K23" s="10">
        <f t="shared" si="0"/>
        <v>0.67</v>
      </c>
      <c r="L23" s="10"/>
      <c r="M23" s="10">
        <v>0</v>
      </c>
      <c r="P23" s="60">
        <f t="shared" si="1"/>
        <v>0.021612903225806453</v>
      </c>
      <c r="Q23" s="60">
        <f t="shared" si="2"/>
        <v>0.021859498207885308</v>
      </c>
      <c r="S23" s="10"/>
      <c r="T23" s="10"/>
      <c r="U23" s="10"/>
      <c r="V23" s="60"/>
      <c r="W23" s="60"/>
    </row>
    <row r="24" spans="1:23" ht="12">
      <c r="A24" s="9">
        <v>38596</v>
      </c>
      <c r="C24" s="10">
        <v>0.556</v>
      </c>
      <c r="D24" s="10"/>
      <c r="E24" s="10"/>
      <c r="F24" s="10"/>
      <c r="G24" s="10"/>
      <c r="H24" s="10"/>
      <c r="I24" s="10"/>
      <c r="J24" s="10"/>
      <c r="K24" s="10">
        <f t="shared" si="0"/>
        <v>0.556</v>
      </c>
      <c r="L24" s="10"/>
      <c r="M24" s="10">
        <v>0</v>
      </c>
      <c r="P24" s="60">
        <f>+K24/30</f>
        <v>0.018533333333333336</v>
      </c>
      <c r="Q24" s="60">
        <f t="shared" si="2"/>
        <v>0.021059498207885306</v>
      </c>
      <c r="S24" s="10"/>
      <c r="T24" s="10"/>
      <c r="U24" s="10"/>
      <c r="V24" s="60"/>
      <c r="W24" s="60"/>
    </row>
    <row r="25" spans="1:23" ht="12">
      <c r="A25" s="9">
        <v>38626</v>
      </c>
      <c r="C25" s="10">
        <v>0.619</v>
      </c>
      <c r="D25" s="10"/>
      <c r="E25" s="10"/>
      <c r="F25" s="10"/>
      <c r="G25" s="10"/>
      <c r="H25" s="10"/>
      <c r="I25" s="10"/>
      <c r="J25" s="10"/>
      <c r="K25" s="10">
        <f t="shared" si="0"/>
        <v>0.619</v>
      </c>
      <c r="L25" s="10"/>
      <c r="M25" s="10">
        <v>0</v>
      </c>
      <c r="P25" s="60">
        <f t="shared" si="1"/>
        <v>0.01996774193548387</v>
      </c>
      <c r="Q25" s="60">
        <f t="shared" si="2"/>
        <v>0.02003799283154122</v>
      </c>
      <c r="S25" s="10"/>
      <c r="T25" s="10"/>
      <c r="U25" s="10"/>
      <c r="V25" s="60"/>
      <c r="W25" s="60"/>
    </row>
    <row r="26" spans="1:23" ht="12">
      <c r="A26" s="9">
        <v>38657</v>
      </c>
      <c r="C26" s="10">
        <v>0.597</v>
      </c>
      <c r="D26" s="10"/>
      <c r="E26" s="10"/>
      <c r="F26" s="10"/>
      <c r="G26" s="10"/>
      <c r="H26" s="10"/>
      <c r="I26" s="10"/>
      <c r="J26" s="10"/>
      <c r="K26" s="10">
        <f t="shared" si="0"/>
        <v>0.597</v>
      </c>
      <c r="L26" s="10"/>
      <c r="M26" s="10">
        <v>0</v>
      </c>
      <c r="P26" s="60">
        <f>+K26/30</f>
        <v>0.019899999999999998</v>
      </c>
      <c r="Q26" s="60">
        <f t="shared" si="2"/>
        <v>0.019467025089605735</v>
      </c>
      <c r="S26" s="10"/>
      <c r="T26" s="10"/>
      <c r="U26" s="10"/>
      <c r="V26" s="60"/>
      <c r="W26" s="60"/>
    </row>
    <row r="27" spans="1:23" ht="12">
      <c r="A27" s="9">
        <v>38687</v>
      </c>
      <c r="C27" s="10">
        <v>0.642</v>
      </c>
      <c r="D27" s="10"/>
      <c r="E27" s="10"/>
      <c r="F27" s="10"/>
      <c r="G27" s="10"/>
      <c r="H27" s="10"/>
      <c r="I27" s="10"/>
      <c r="J27" s="10"/>
      <c r="K27" s="10">
        <f t="shared" si="0"/>
        <v>0.642</v>
      </c>
      <c r="L27" s="10"/>
      <c r="M27" s="10">
        <v>0</v>
      </c>
      <c r="P27" s="60">
        <f t="shared" si="1"/>
        <v>0.02070967741935484</v>
      </c>
      <c r="Q27" s="60">
        <f t="shared" si="2"/>
        <v>0.02019247311827957</v>
      </c>
      <c r="S27" s="10"/>
      <c r="T27" s="10"/>
      <c r="U27" s="10"/>
      <c r="V27" s="60"/>
      <c r="W27" s="60"/>
    </row>
    <row r="28" spans="1:21" ht="12">
      <c r="A28" s="9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P28" s="60"/>
      <c r="Q28" s="60"/>
      <c r="S28" s="10"/>
      <c r="T28" s="10"/>
      <c r="U28" s="10"/>
    </row>
    <row r="29" spans="1:20" ht="12">
      <c r="A29" s="4"/>
      <c r="C29" s="10"/>
      <c r="D29" s="10"/>
      <c r="E29" s="10"/>
      <c r="F29" s="10"/>
      <c r="G29" s="10"/>
      <c r="H29" s="10"/>
      <c r="I29" s="5"/>
      <c r="J29" s="10"/>
      <c r="K29" s="10"/>
      <c r="L29" s="10"/>
      <c r="M29" s="10"/>
      <c r="P29" s="60"/>
      <c r="Q29" s="60"/>
      <c r="S29" s="10"/>
      <c r="T29" s="10"/>
    </row>
    <row r="30" spans="3:17" ht="12">
      <c r="C30" s="5" t="s">
        <v>106</v>
      </c>
      <c r="D30" s="10"/>
      <c r="E30" s="5" t="s">
        <v>106</v>
      </c>
      <c r="F30" s="10"/>
      <c r="G30" s="5" t="s">
        <v>106</v>
      </c>
      <c r="H30" s="10"/>
      <c r="I30" s="5" t="s">
        <v>106</v>
      </c>
      <c r="J30" s="10"/>
      <c r="K30" s="5" t="s">
        <v>106</v>
      </c>
      <c r="L30" s="10"/>
      <c r="M30" s="5" t="s">
        <v>106</v>
      </c>
      <c r="P30" s="60"/>
      <c r="Q30" s="60"/>
    </row>
    <row r="31" spans="1:23" ht="12">
      <c r="A31" s="4" t="s">
        <v>107</v>
      </c>
      <c r="C31" s="10">
        <f>SUM(C16:C30)</f>
        <v>7.711000000000001</v>
      </c>
      <c r="D31" s="10"/>
      <c r="E31" s="10">
        <f>SUM(E16:E30)</f>
        <v>0</v>
      </c>
      <c r="F31" s="10"/>
      <c r="G31" s="10"/>
      <c r="H31" s="10"/>
      <c r="I31" s="10"/>
      <c r="J31" s="10"/>
      <c r="K31" s="10">
        <f>SUM(K16:K30)</f>
        <v>7.711000000000001</v>
      </c>
      <c r="L31" s="10"/>
      <c r="M31" s="10">
        <v>0</v>
      </c>
      <c r="P31" s="60">
        <f>MAX(P16:P27)</f>
        <v>0.023774193548387095</v>
      </c>
      <c r="Q31" s="60">
        <f>MAX(Q16:Q27)</f>
        <v>0.022839016897081413</v>
      </c>
      <c r="T31" s="10"/>
      <c r="U31" s="10"/>
      <c r="W31" s="60"/>
    </row>
    <row r="32" spans="3:21" ht="12">
      <c r="C32" s="12" t="s">
        <v>108</v>
      </c>
      <c r="E32" s="3" t="s">
        <v>108</v>
      </c>
      <c r="G32" s="3" t="s">
        <v>108</v>
      </c>
      <c r="I32" s="3" t="s">
        <v>108</v>
      </c>
      <c r="K32" s="12" t="s">
        <v>108</v>
      </c>
      <c r="M32" s="3" t="s">
        <v>108</v>
      </c>
      <c r="U32" s="10"/>
    </row>
    <row r="33" spans="3:21" ht="12">
      <c r="C33" s="2" t="s">
        <v>165</v>
      </c>
      <c r="U33" s="85"/>
    </row>
    <row r="34" ht="12">
      <c r="U34" s="85"/>
    </row>
    <row r="49" ht="24">
      <c r="G49" s="81"/>
    </row>
    <row r="54" spans="1:11" ht="10.5" customHeight="1">
      <c r="A54" s="7"/>
      <c r="K54" s="2"/>
    </row>
    <row r="58" ht="18.75">
      <c r="G58" s="8"/>
    </row>
    <row r="61" spans="1:11" s="17" customFormat="1" ht="18.75">
      <c r="A61" s="21"/>
      <c r="B61" s="22"/>
      <c r="C61" s="22"/>
      <c r="D61" s="22"/>
      <c r="E61" s="22"/>
      <c r="F61" s="22"/>
      <c r="H61" s="22"/>
      <c r="J61" s="22"/>
      <c r="K61" s="22"/>
    </row>
  </sheetData>
  <printOptions/>
  <pageMargins left="0.75" right="0.5" top="1" bottom="1" header="0.5" footer="0.5"/>
  <pageSetup fitToHeight="1" fitToWidth="1"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workbookViewId="0" topLeftCell="D12">
      <selection activeCell="D14" sqref="D14"/>
    </sheetView>
  </sheetViews>
  <sheetFormatPr defaultColWidth="9.00390625" defaultRowHeight="12.75"/>
  <cols>
    <col min="1" max="1" width="5.00390625" style="17" customWidth="1"/>
    <col min="2" max="7" width="8.75390625" style="17" customWidth="1"/>
    <col min="8" max="8" width="19.125" style="17" customWidth="1"/>
    <col min="9" max="9" width="6.75390625" style="17" customWidth="1"/>
    <col min="10" max="10" width="17.625" style="17" customWidth="1"/>
    <col min="11" max="11" width="14.75390625" style="17" customWidth="1"/>
    <col min="12" max="12" width="10.75390625" style="17" customWidth="1"/>
    <col min="13" max="13" width="5.75390625" style="17" customWidth="1"/>
    <col min="14" max="194" width="8.75390625" style="17" customWidth="1"/>
    <col min="195" max="16384" width="10.75390625" style="17" customWidth="1"/>
  </cols>
  <sheetData>
    <row r="1" spans="1:11" ht="12.75">
      <c r="A1" s="110" t="s">
        <v>122</v>
      </c>
      <c r="B1" s="111"/>
      <c r="C1" s="111"/>
      <c r="D1" s="111"/>
      <c r="E1" s="111"/>
      <c r="F1" s="111"/>
      <c r="G1" s="111"/>
      <c r="H1" s="110" t="s">
        <v>80</v>
      </c>
      <c r="I1" s="111"/>
      <c r="J1" s="111"/>
      <c r="K1" s="111"/>
    </row>
    <row r="2" spans="1:11" ht="12.7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</row>
    <row r="3" spans="1:11" ht="12.75">
      <c r="A3" s="110" t="str">
        <f>'F-1'!A4</f>
        <v>Company:  Utilities, Inc. of Florida (630/635-Golden Hills/Crownwood)</v>
      </c>
      <c r="B3" s="111"/>
      <c r="C3" s="111"/>
      <c r="D3" s="111"/>
      <c r="E3" s="111"/>
      <c r="F3" s="111"/>
      <c r="G3" s="111"/>
      <c r="H3" s="111"/>
      <c r="I3" s="111"/>
      <c r="J3" s="111"/>
      <c r="K3" s="110" t="s">
        <v>123</v>
      </c>
    </row>
    <row r="4" spans="1:11" ht="12.75">
      <c r="A4" s="110" t="str">
        <f>'F-1'!A5</f>
        <v>Docket No.: 060253-WS</v>
      </c>
      <c r="B4" s="111"/>
      <c r="C4" s="111"/>
      <c r="D4" s="111"/>
      <c r="E4" s="111"/>
      <c r="F4" s="111"/>
      <c r="G4" s="111"/>
      <c r="H4" s="111"/>
      <c r="I4" s="111"/>
      <c r="J4" s="111"/>
      <c r="K4" s="110" t="s">
        <v>83</v>
      </c>
    </row>
    <row r="5" spans="1:11" ht="12.75">
      <c r="A5" s="110" t="str">
        <f>'F-1'!A6</f>
        <v>Test Year Ended:  December 31, 2005</v>
      </c>
      <c r="B5" s="111"/>
      <c r="C5" s="111"/>
      <c r="D5" s="111"/>
      <c r="E5" s="111"/>
      <c r="F5" s="111"/>
      <c r="G5" s="111"/>
      <c r="H5" s="111"/>
      <c r="I5" s="111"/>
      <c r="J5" s="111"/>
      <c r="K5" s="110" t="str">
        <f>'F-1'!L5</f>
        <v>Preparer:  Seidman, F.</v>
      </c>
    </row>
    <row r="6" spans="1:11" ht="12.7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</row>
    <row r="7" spans="1:11" ht="12.75">
      <c r="A7" s="110" t="s">
        <v>124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</row>
    <row r="8" spans="1:11" ht="12.75">
      <c r="A8" s="110" t="s">
        <v>125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</row>
    <row r="9" spans="1:11" ht="12.75">
      <c r="A9" s="110" t="s">
        <v>172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13" ht="12.75">
      <c r="A10" s="18" t="s">
        <v>88</v>
      </c>
      <c r="B10" s="18" t="s">
        <v>88</v>
      </c>
      <c r="C10" s="18" t="s">
        <v>88</v>
      </c>
      <c r="D10" s="18" t="s">
        <v>88</v>
      </c>
      <c r="E10" s="18" t="s">
        <v>88</v>
      </c>
      <c r="F10" s="18" t="s">
        <v>88</v>
      </c>
      <c r="G10" s="18" t="s">
        <v>88</v>
      </c>
      <c r="H10" s="18" t="s">
        <v>88</v>
      </c>
      <c r="I10" s="18" t="s">
        <v>88</v>
      </c>
      <c r="J10" s="18" t="s">
        <v>88</v>
      </c>
      <c r="K10" s="18" t="s">
        <v>88</v>
      </c>
      <c r="L10"/>
      <c r="M10"/>
    </row>
    <row r="11" spans="10:11" s="19" customFormat="1" ht="12">
      <c r="J11" s="47" t="s">
        <v>126</v>
      </c>
      <c r="K11" s="47" t="s">
        <v>127</v>
      </c>
    </row>
    <row r="12" spans="1:11" s="19" customFormat="1" ht="13.5">
      <c r="A12" s="115">
        <v>1</v>
      </c>
      <c r="B12" s="116" t="s">
        <v>128</v>
      </c>
      <c r="C12" s="117"/>
      <c r="D12" s="115"/>
      <c r="E12" s="115"/>
      <c r="F12" s="115"/>
      <c r="G12" s="115"/>
      <c r="H12" s="115"/>
      <c r="J12" s="17"/>
      <c r="K12" s="17"/>
    </row>
    <row r="13" spans="1:11" s="19" customFormat="1" ht="13.5">
      <c r="A13" s="115"/>
      <c r="B13" s="116" t="s">
        <v>0</v>
      </c>
      <c r="C13" s="118"/>
      <c r="D13" s="118"/>
      <c r="E13" s="118"/>
      <c r="F13" s="118"/>
      <c r="G13" s="118"/>
      <c r="H13" s="115"/>
      <c r="J13" s="18"/>
      <c r="K13" s="57">
        <v>600000</v>
      </c>
    </row>
    <row r="14" spans="1:8" s="19" customFormat="1" ht="13.5">
      <c r="A14" s="115"/>
      <c r="B14" s="116" t="s">
        <v>168</v>
      </c>
      <c r="C14" s="115"/>
      <c r="D14" s="115"/>
      <c r="E14" s="115"/>
      <c r="F14" s="115"/>
      <c r="G14" s="115"/>
      <c r="H14" s="115"/>
    </row>
    <row r="15" spans="1:8" s="19" customFormat="1" ht="13.5">
      <c r="A15" s="115"/>
      <c r="B15" s="115"/>
      <c r="C15" s="115"/>
      <c r="D15" s="115"/>
      <c r="E15" s="115"/>
      <c r="F15" s="115"/>
      <c r="G15" s="115"/>
      <c r="H15" s="115"/>
    </row>
    <row r="16" spans="1:8" s="19" customFormat="1" ht="13.5">
      <c r="A16" s="115">
        <v>2</v>
      </c>
      <c r="B16" s="116" t="s">
        <v>1</v>
      </c>
      <c r="C16" s="117"/>
      <c r="D16" s="115"/>
      <c r="E16" s="115"/>
      <c r="F16" s="115"/>
      <c r="G16" s="115"/>
      <c r="H16" s="115"/>
    </row>
    <row r="17" spans="1:11" s="19" customFormat="1" ht="13.5">
      <c r="A17" s="115"/>
      <c r="B17" s="116" t="s">
        <v>2</v>
      </c>
      <c r="C17" s="115"/>
      <c r="D17" s="115"/>
      <c r="E17" s="115"/>
      <c r="F17" s="115"/>
      <c r="G17" s="115"/>
      <c r="H17" s="115"/>
      <c r="J17" s="50">
        <v>38472</v>
      </c>
      <c r="K17" s="51">
        <f>266000*0.8326</f>
        <v>221471.6</v>
      </c>
    </row>
    <row r="18" spans="1:10" s="19" customFormat="1" ht="13.5">
      <c r="A18" s="115"/>
      <c r="B18" s="116" t="s">
        <v>169</v>
      </c>
      <c r="C18" s="115"/>
      <c r="D18" s="115"/>
      <c r="E18" s="115"/>
      <c r="F18" s="115"/>
      <c r="G18" s="115"/>
      <c r="H18" s="115"/>
      <c r="J18" s="16"/>
    </row>
    <row r="19" spans="1:11" s="19" customFormat="1" ht="13.5">
      <c r="A19" s="115"/>
      <c r="B19" s="116" t="s">
        <v>170</v>
      </c>
      <c r="C19" s="115"/>
      <c r="D19" s="115"/>
      <c r="E19" s="115"/>
      <c r="F19" s="115"/>
      <c r="G19" s="115"/>
      <c r="H19" s="115"/>
      <c r="J19" s="101"/>
      <c r="K19" s="102"/>
    </row>
    <row r="20" spans="1:10" s="19" customFormat="1" ht="13.5">
      <c r="A20" s="115"/>
      <c r="B20" s="115"/>
      <c r="C20" s="115"/>
      <c r="D20" s="115"/>
      <c r="E20" s="115"/>
      <c r="F20" s="115"/>
      <c r="G20" s="115"/>
      <c r="H20" s="115"/>
      <c r="J20" s="16"/>
    </row>
    <row r="21" spans="1:8" s="19" customFormat="1" ht="13.5">
      <c r="A21" s="115">
        <v>3</v>
      </c>
      <c r="B21" s="116" t="s">
        <v>3</v>
      </c>
      <c r="C21" s="117"/>
      <c r="D21" s="115"/>
      <c r="E21" s="115"/>
      <c r="F21" s="115"/>
      <c r="G21" s="115"/>
      <c r="H21" s="115"/>
    </row>
    <row r="22" spans="1:11" s="19" customFormat="1" ht="13.5">
      <c r="A22" s="115"/>
      <c r="B22" s="116" t="s">
        <v>4</v>
      </c>
      <c r="C22" s="115"/>
      <c r="D22" s="115"/>
      <c r="E22" s="115"/>
      <c r="F22" s="115"/>
      <c r="G22" s="115"/>
      <c r="H22" s="115"/>
      <c r="I22" s="45" t="s">
        <v>89</v>
      </c>
      <c r="J22" s="50">
        <v>38669</v>
      </c>
      <c r="K22" s="51">
        <f>222000*0.8326</f>
        <v>184837.2</v>
      </c>
    </row>
    <row r="23" spans="1:11" s="19" customFormat="1" ht="13.5">
      <c r="A23" s="115"/>
      <c r="B23" s="116" t="s">
        <v>50</v>
      </c>
      <c r="C23" s="115"/>
      <c r="D23" s="115"/>
      <c r="E23" s="115"/>
      <c r="F23" s="115"/>
      <c r="G23" s="115"/>
      <c r="H23" s="115"/>
      <c r="I23" s="45" t="s">
        <v>90</v>
      </c>
      <c r="J23" s="50">
        <v>38670</v>
      </c>
      <c r="K23" s="51">
        <f>222000*0.8326</f>
        <v>184837.2</v>
      </c>
    </row>
    <row r="24" spans="1:11" s="19" customFormat="1" ht="13.5">
      <c r="A24" s="115"/>
      <c r="B24" s="116" t="s">
        <v>171</v>
      </c>
      <c r="C24" s="115"/>
      <c r="D24" s="115"/>
      <c r="E24" s="115"/>
      <c r="F24" s="115"/>
      <c r="G24" s="115"/>
      <c r="H24" s="115"/>
      <c r="I24" s="45" t="s">
        <v>91</v>
      </c>
      <c r="J24" s="50">
        <v>38679</v>
      </c>
      <c r="K24" s="51">
        <f>237000*0.8326</f>
        <v>197326.2</v>
      </c>
    </row>
    <row r="25" spans="1:11" s="19" customFormat="1" ht="13.5">
      <c r="A25" s="115"/>
      <c r="B25" s="116" t="s">
        <v>51</v>
      </c>
      <c r="C25" s="115"/>
      <c r="D25" s="115"/>
      <c r="E25" s="115"/>
      <c r="F25" s="115"/>
      <c r="G25" s="115"/>
      <c r="H25" s="115"/>
      <c r="I25" s="45" t="s">
        <v>92</v>
      </c>
      <c r="J25" s="50">
        <v>38673</v>
      </c>
      <c r="K25" s="51">
        <f>243000*0.8326</f>
        <v>202321.8</v>
      </c>
    </row>
    <row r="26" spans="1:11" s="19" customFormat="1" ht="13.5">
      <c r="A26" s="115"/>
      <c r="B26" s="115"/>
      <c r="C26" s="115"/>
      <c r="D26" s="115"/>
      <c r="E26" s="115"/>
      <c r="F26" s="115"/>
      <c r="G26" s="115"/>
      <c r="H26" s="115"/>
      <c r="I26" s="45" t="s">
        <v>93</v>
      </c>
      <c r="J26" s="50">
        <v>38666</v>
      </c>
      <c r="K26" s="51">
        <f>262000*0.8326</f>
        <v>218141.2</v>
      </c>
    </row>
    <row r="27" spans="1:11" s="19" customFormat="1" ht="13.5">
      <c r="A27" s="115"/>
      <c r="B27" s="59"/>
      <c r="C27" s="115"/>
      <c r="D27" s="115"/>
      <c r="E27" s="115"/>
      <c r="F27" s="115"/>
      <c r="G27" s="115"/>
      <c r="H27" s="115"/>
      <c r="I27" s="45"/>
      <c r="J27" s="49"/>
      <c r="K27" s="46"/>
    </row>
    <row r="28" spans="1:11" s="19" customFormat="1" ht="13.5">
      <c r="A28" s="115"/>
      <c r="B28" s="115"/>
      <c r="C28" s="115"/>
      <c r="D28" s="115"/>
      <c r="E28" s="115"/>
      <c r="F28" s="115"/>
      <c r="G28" s="115"/>
      <c r="H28" s="115"/>
      <c r="J28" s="19" t="s">
        <v>52</v>
      </c>
      <c r="K28" s="51">
        <f>AVERAGE(K22:K26)</f>
        <v>197492.72000000003</v>
      </c>
    </row>
    <row r="29" spans="1:11" s="19" customFormat="1" ht="13.5">
      <c r="A29" s="115"/>
      <c r="B29" s="115"/>
      <c r="C29" s="115"/>
      <c r="D29" s="88"/>
      <c r="E29" s="115"/>
      <c r="F29" s="115"/>
      <c r="G29" s="115"/>
      <c r="H29" s="115"/>
      <c r="K29" s="18"/>
    </row>
    <row r="30" spans="1:11" s="19" customFormat="1" ht="13.5">
      <c r="A30" s="115"/>
      <c r="B30" s="115"/>
      <c r="C30" s="119"/>
      <c r="D30" s="119"/>
      <c r="E30" s="119"/>
      <c r="F30" s="115"/>
      <c r="G30" s="115"/>
      <c r="H30" s="115"/>
      <c r="J30" s="47" t="s">
        <v>164</v>
      </c>
      <c r="K30" s="51">
        <f>'F-1'!E29*10^6/30</f>
        <v>157024.43438914028</v>
      </c>
    </row>
    <row r="31" spans="1:11" s="19" customFormat="1" ht="13.5">
      <c r="A31" s="115">
        <v>4</v>
      </c>
      <c r="B31" s="119" t="s">
        <v>53</v>
      </c>
      <c r="C31" s="115"/>
      <c r="D31" s="115"/>
      <c r="E31" s="115"/>
      <c r="F31" s="115"/>
      <c r="G31" s="115"/>
      <c r="H31" s="115"/>
      <c r="J31" s="50" t="s">
        <v>46</v>
      </c>
      <c r="K31" s="51">
        <f>'F-1'!E33*10^6/365</f>
        <v>131727.7133825079</v>
      </c>
    </row>
    <row r="32" spans="1:8" s="19" customFormat="1" ht="13.5">
      <c r="A32" s="115"/>
      <c r="B32" s="115"/>
      <c r="C32" s="115"/>
      <c r="D32" s="115"/>
      <c r="E32" s="115"/>
      <c r="F32" s="115"/>
      <c r="G32" s="115"/>
      <c r="H32" s="115"/>
    </row>
    <row r="33" spans="1:11" s="19" customFormat="1" ht="15">
      <c r="A33" s="115">
        <v>5</v>
      </c>
      <c r="B33" s="116" t="s">
        <v>5</v>
      </c>
      <c r="C33" s="115"/>
      <c r="D33" s="115"/>
      <c r="E33" s="115"/>
      <c r="F33" s="115"/>
      <c r="G33" s="115"/>
      <c r="H33" s="115"/>
      <c r="J33" s="16" t="s">
        <v>174</v>
      </c>
      <c r="K33" s="58"/>
    </row>
    <row r="34" spans="1:8" s="19" customFormat="1" ht="13.5">
      <c r="A34" s="115"/>
      <c r="B34" s="115"/>
      <c r="C34" s="115"/>
      <c r="D34" s="115"/>
      <c r="E34" s="115"/>
      <c r="F34" s="115"/>
      <c r="G34" s="115"/>
      <c r="H34" s="115"/>
    </row>
    <row r="35" spans="1:8" s="19" customFormat="1" ht="13.5">
      <c r="A35" s="115"/>
      <c r="B35" s="116" t="s">
        <v>54</v>
      </c>
      <c r="C35" s="115"/>
      <c r="D35" s="115"/>
      <c r="E35" s="115"/>
      <c r="F35" s="115"/>
      <c r="G35" s="115"/>
      <c r="H35" s="115"/>
    </row>
    <row r="36" spans="1:8" s="19" customFormat="1" ht="13.5">
      <c r="A36" s="115"/>
      <c r="B36" s="116" t="s">
        <v>55</v>
      </c>
      <c r="C36" s="115"/>
      <c r="D36" s="115"/>
      <c r="E36" s="115"/>
      <c r="F36" s="115"/>
      <c r="G36" s="115"/>
      <c r="H36" s="115"/>
    </row>
    <row r="37" spans="1:8" s="19" customFormat="1" ht="13.5">
      <c r="A37" s="115"/>
      <c r="B37" s="116" t="s">
        <v>56</v>
      </c>
      <c r="C37" s="115"/>
      <c r="D37" s="115"/>
      <c r="E37" s="115"/>
      <c r="F37" s="115"/>
      <c r="G37" s="115"/>
      <c r="H37" s="115"/>
    </row>
    <row r="38" spans="1:8" s="19" customFormat="1" ht="13.5">
      <c r="A38" s="115"/>
      <c r="B38" s="115"/>
      <c r="C38" s="115"/>
      <c r="D38" s="115"/>
      <c r="E38" s="115"/>
      <c r="F38" s="115"/>
      <c r="G38" s="115"/>
      <c r="H38" s="115"/>
    </row>
    <row r="39" spans="1:8" s="19" customFormat="1" ht="13.5">
      <c r="A39" s="115"/>
      <c r="B39" s="116" t="s">
        <v>231</v>
      </c>
      <c r="C39" s="115"/>
      <c r="D39" s="115"/>
      <c r="E39" s="115"/>
      <c r="F39" s="115"/>
      <c r="G39" s="115"/>
      <c r="H39" s="115"/>
    </row>
    <row r="40" spans="1:8" s="19" customFormat="1" ht="13.5">
      <c r="A40" s="115"/>
      <c r="B40" s="116" t="s">
        <v>233</v>
      </c>
      <c r="C40" s="115"/>
      <c r="D40" s="115"/>
      <c r="E40" s="115"/>
      <c r="F40" s="115"/>
      <c r="G40" s="115"/>
      <c r="H40" s="115"/>
    </row>
    <row r="41" spans="1:10" s="19" customFormat="1" ht="13.5">
      <c r="A41" s="115"/>
      <c r="B41" s="116" t="s">
        <v>232</v>
      </c>
      <c r="C41" s="115"/>
      <c r="D41" s="115"/>
      <c r="E41" s="115"/>
      <c r="F41" s="115"/>
      <c r="G41" s="115"/>
      <c r="H41" s="115"/>
      <c r="J41" s="20"/>
    </row>
    <row r="42" spans="1:10" s="19" customFormat="1" ht="13.5">
      <c r="A42" s="115"/>
      <c r="B42" s="115"/>
      <c r="C42" s="115"/>
      <c r="D42" s="115"/>
      <c r="E42" s="115"/>
      <c r="F42" s="115"/>
      <c r="G42" s="115"/>
      <c r="H42" s="115"/>
      <c r="J42" s="20"/>
    </row>
    <row r="43" s="19" customFormat="1" ht="12.75">
      <c r="J43" s="20"/>
    </row>
    <row r="44" s="19" customFormat="1" ht="12.75">
      <c r="J44" s="20"/>
    </row>
    <row r="45" s="19" customFormat="1" ht="12.75">
      <c r="J45" s="20"/>
    </row>
    <row r="46" s="19" customFormat="1" ht="12.75">
      <c r="J46" s="20"/>
    </row>
    <row r="47" s="19" customFormat="1" ht="12.75">
      <c r="J47" s="20"/>
    </row>
    <row r="48" s="19" customFormat="1" ht="12.75">
      <c r="J48" s="20"/>
    </row>
    <row r="49" spans="6:10" s="19" customFormat="1" ht="24">
      <c r="F49" s="81"/>
      <c r="J49" s="20"/>
    </row>
    <row r="50" s="19" customFormat="1" ht="12.75">
      <c r="J50" s="20"/>
    </row>
    <row r="51" s="19" customFormat="1" ht="12.75">
      <c r="J51" s="20"/>
    </row>
    <row r="52" s="19" customFormat="1" ht="12.75">
      <c r="J52" s="20"/>
    </row>
    <row r="53" s="19" customFormat="1" ht="12.75">
      <c r="J53" s="20"/>
    </row>
    <row r="54" spans="1:11" ht="18.75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3" ht="18.75">
      <c r="A55" s="23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2"/>
      <c r="M55" s="22"/>
    </row>
  </sheetData>
  <printOptions/>
  <pageMargins left="0.75" right="0.5" top="1" bottom="1" header="0.5" footer="0.5"/>
  <pageSetup fitToHeight="1" fitToWidth="1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showGridLines="0" workbookViewId="0" topLeftCell="A1">
      <selection activeCell="A11" sqref="A11"/>
    </sheetView>
  </sheetViews>
  <sheetFormatPr defaultColWidth="9.00390625" defaultRowHeight="12.75"/>
  <cols>
    <col min="1" max="8" width="8.75390625" style="2" customWidth="1"/>
    <col min="9" max="9" width="6.75390625" style="2" customWidth="1"/>
    <col min="10" max="11" width="10.75390625" style="2" customWidth="1"/>
    <col min="12" max="12" width="11.25390625" style="25" customWidth="1"/>
    <col min="13" max="13" width="5.75390625" style="2" customWidth="1"/>
    <col min="14" max="197" width="8.75390625" style="2" customWidth="1"/>
    <col min="198" max="16384" width="10.75390625" style="2" customWidth="1"/>
  </cols>
  <sheetData>
    <row r="1" spans="1:11" ht="12.75">
      <c r="A1" s="105" t="s">
        <v>6</v>
      </c>
      <c r="B1" s="106"/>
      <c r="C1" s="106"/>
      <c r="D1" s="106"/>
      <c r="E1" s="106"/>
      <c r="F1" s="106"/>
      <c r="G1" s="106"/>
      <c r="H1" s="106"/>
      <c r="I1" s="106"/>
      <c r="J1" s="105" t="s">
        <v>80</v>
      </c>
      <c r="K1" s="106"/>
    </row>
    <row r="2" spans="1:11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</row>
    <row r="3" spans="1:11" ht="12.75">
      <c r="A3" s="105" t="str">
        <f>'F-1'!A4</f>
        <v>Company:  Utilities, Inc. of Florida (630/635-Golden Hills/Crownwood)</v>
      </c>
      <c r="B3" s="106"/>
      <c r="C3" s="106"/>
      <c r="D3" s="106"/>
      <c r="E3" s="106"/>
      <c r="F3" s="106"/>
      <c r="G3" s="106"/>
      <c r="H3" s="106"/>
      <c r="I3" s="106"/>
      <c r="J3" s="106"/>
      <c r="K3" s="105" t="s">
        <v>7</v>
      </c>
    </row>
    <row r="4" spans="1:11" ht="12.75">
      <c r="A4" s="105" t="str">
        <f>'F-1'!A5</f>
        <v>Docket No.: 060253-WS</v>
      </c>
      <c r="B4" s="106"/>
      <c r="C4" s="106"/>
      <c r="D4" s="106"/>
      <c r="E4" s="106"/>
      <c r="F4" s="106"/>
      <c r="G4" s="106"/>
      <c r="H4" s="106"/>
      <c r="I4" s="106"/>
      <c r="J4" s="106"/>
      <c r="K4" s="105" t="s">
        <v>83</v>
      </c>
    </row>
    <row r="5" spans="1:11" ht="12.75">
      <c r="A5" s="105" t="str">
        <f>'F-1'!A6</f>
        <v>Test Year Ended:  December 31, 2005</v>
      </c>
      <c r="B5" s="106"/>
      <c r="C5" s="109"/>
      <c r="D5" s="106"/>
      <c r="E5" s="106"/>
      <c r="F5" s="106"/>
      <c r="G5" s="106"/>
      <c r="H5" s="106"/>
      <c r="I5" s="106"/>
      <c r="J5" s="106"/>
      <c r="K5" s="105" t="str">
        <f>'F-1'!L5</f>
        <v>Preparer:  Seidman, F.</v>
      </c>
    </row>
    <row r="6" spans="1:11" ht="12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</row>
    <row r="7" spans="1:11" ht="12.75">
      <c r="A7" s="105" t="s">
        <v>8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</row>
    <row r="8" spans="1:11" ht="12.75">
      <c r="A8" s="105" t="s">
        <v>173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</row>
    <row r="9" spans="1:13" ht="12">
      <c r="A9" s="3" t="s">
        <v>88</v>
      </c>
      <c r="B9" s="3" t="s">
        <v>88</v>
      </c>
      <c r="C9" s="3" t="s">
        <v>88</v>
      </c>
      <c r="D9" s="3" t="s">
        <v>88</v>
      </c>
      <c r="E9" s="3" t="s">
        <v>88</v>
      </c>
      <c r="F9" s="3" t="s">
        <v>88</v>
      </c>
      <c r="G9" s="3" t="s">
        <v>88</v>
      </c>
      <c r="H9" s="3" t="s">
        <v>88</v>
      </c>
      <c r="I9" s="3" t="s">
        <v>88</v>
      </c>
      <c r="J9" s="3" t="s">
        <v>88</v>
      </c>
      <c r="K9" s="3" t="s">
        <v>88</v>
      </c>
      <c r="L9" s="26" t="s">
        <v>88</v>
      </c>
      <c r="M9" s="3" t="s">
        <v>88</v>
      </c>
    </row>
    <row r="10" spans="10:12" ht="12">
      <c r="J10" s="4" t="s">
        <v>9</v>
      </c>
      <c r="L10" s="27" t="s">
        <v>127</v>
      </c>
    </row>
    <row r="11" spans="10:12" ht="12">
      <c r="J11" s="3" t="s">
        <v>88</v>
      </c>
      <c r="L11" s="26" t="s">
        <v>88</v>
      </c>
    </row>
    <row r="13" spans="1:12" ht="12">
      <c r="A13" s="4" t="s">
        <v>10</v>
      </c>
      <c r="B13" s="1" t="s">
        <v>177</v>
      </c>
      <c r="J13" s="28"/>
      <c r="L13" s="52">
        <v>40000</v>
      </c>
    </row>
    <row r="15" spans="2:10" ht="12">
      <c r="B15" s="1" t="s">
        <v>11</v>
      </c>
      <c r="J15" s="9"/>
    </row>
    <row r="16" spans="2:10" ht="12">
      <c r="B16" s="1" t="s">
        <v>12</v>
      </c>
      <c r="J16" s="9"/>
    </row>
    <row r="17" ht="12">
      <c r="J17" s="9"/>
    </row>
    <row r="18" ht="12">
      <c r="J18" s="9"/>
    </row>
    <row r="20" spans="1:12" ht="12">
      <c r="A20" s="4" t="s">
        <v>13</v>
      </c>
      <c r="B20" s="1" t="s">
        <v>14</v>
      </c>
      <c r="J20" s="29">
        <v>38412</v>
      </c>
      <c r="L20" s="52">
        <f>'F-2'!K18*10^6/31</f>
        <v>23774.1935483871</v>
      </c>
    </row>
    <row r="21" spans="2:12" ht="12">
      <c r="B21" s="1" t="s">
        <v>179</v>
      </c>
      <c r="J21" s="29">
        <v>38443</v>
      </c>
      <c r="L21" s="52">
        <f>'F-2'!Q31*10^6</f>
        <v>22839.016897081412</v>
      </c>
    </row>
    <row r="23" ht="12">
      <c r="B23" s="1" t="s">
        <v>15</v>
      </c>
    </row>
    <row r="24" ht="12">
      <c r="B24" s="1" t="s">
        <v>16</v>
      </c>
    </row>
    <row r="25" ht="12">
      <c r="B25" s="1" t="s">
        <v>17</v>
      </c>
    </row>
    <row r="26" ht="12">
      <c r="B26" s="1" t="s">
        <v>18</v>
      </c>
    </row>
    <row r="28" spans="1:12" ht="12">
      <c r="A28" s="4" t="s">
        <v>178</v>
      </c>
      <c r="L28" s="2"/>
    </row>
    <row r="29" spans="10:12" ht="12">
      <c r="J29" s="64"/>
      <c r="L29" s="65"/>
    </row>
    <row r="49" ht="24">
      <c r="G49" s="81"/>
    </row>
    <row r="54" spans="1:13" ht="18.75">
      <c r="A54" s="30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2"/>
      <c r="M54" s="31"/>
    </row>
    <row r="62" ht="12">
      <c r="F62" s="6"/>
    </row>
  </sheetData>
  <printOptions/>
  <pageMargins left="0.75" right="0.2" top="1" bottom="1" header="0.5" footer="0.5"/>
  <pageSetup fitToHeight="1" fitToWidth="1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3"/>
  <sheetViews>
    <sheetView showGridLines="0" tabSelected="1" workbookViewId="0" topLeftCell="A38">
      <selection activeCell="I58" sqref="I58"/>
    </sheetView>
  </sheetViews>
  <sheetFormatPr defaultColWidth="9.00390625" defaultRowHeight="12.75"/>
  <cols>
    <col min="1" max="1" width="3.375" style="2" customWidth="1"/>
    <col min="2" max="4" width="8.75390625" style="2" customWidth="1"/>
    <col min="5" max="5" width="9.75390625" style="2" customWidth="1"/>
    <col min="6" max="6" width="8.75390625" style="2" customWidth="1"/>
    <col min="7" max="7" width="22.75390625" style="2" customWidth="1"/>
    <col min="8" max="8" width="7.625" style="2" customWidth="1"/>
    <col min="9" max="9" width="9.125" style="2" customWidth="1"/>
    <col min="10" max="10" width="11.75390625" style="2" customWidth="1"/>
    <col min="11" max="194" width="8.75390625" style="2" customWidth="1"/>
    <col min="195" max="16384" width="10.75390625" style="2" customWidth="1"/>
  </cols>
  <sheetData>
    <row r="1" spans="1:10" ht="12.75">
      <c r="A1" s="105" t="s">
        <v>19</v>
      </c>
      <c r="B1" s="106"/>
      <c r="C1" s="106"/>
      <c r="D1" s="106"/>
      <c r="E1" s="106"/>
      <c r="F1" s="105" t="s">
        <v>80</v>
      </c>
      <c r="G1" s="106"/>
      <c r="H1" s="106"/>
      <c r="I1" s="106"/>
      <c r="J1" s="106"/>
    </row>
    <row r="2" spans="1:10" ht="12.75">
      <c r="A2" s="105" t="s">
        <v>20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>
      <c r="A4" s="105" t="str">
        <f>'F-1'!A4</f>
        <v>Company:  Utilities, Inc. of Florida (630/635-Golden Hills/Crownwood)</v>
      </c>
      <c r="B4" s="106"/>
      <c r="C4" s="106"/>
      <c r="D4" s="106"/>
      <c r="E4" s="106"/>
      <c r="F4" s="106"/>
      <c r="G4" s="106"/>
      <c r="H4" s="106"/>
      <c r="I4" s="106"/>
      <c r="J4" s="105" t="s">
        <v>21</v>
      </c>
    </row>
    <row r="5" spans="1:10" ht="12.75">
      <c r="A5" s="105" t="str">
        <f>'F-1'!A5</f>
        <v>Docket No.: 060253-WS</v>
      </c>
      <c r="B5" s="106"/>
      <c r="C5" s="106"/>
      <c r="D5" s="106"/>
      <c r="E5" s="106"/>
      <c r="F5" s="106"/>
      <c r="G5" s="106"/>
      <c r="H5" s="106"/>
      <c r="I5" s="106"/>
      <c r="J5" s="105" t="s">
        <v>83</v>
      </c>
    </row>
    <row r="6" spans="1:10" ht="12.75">
      <c r="A6" s="105" t="str">
        <f>'F-1'!A6</f>
        <v>Test Year Ended:  December 31, 2005</v>
      </c>
      <c r="B6" s="106"/>
      <c r="C6" s="106"/>
      <c r="D6" s="106"/>
      <c r="E6" s="106"/>
      <c r="F6" s="106"/>
      <c r="G6" s="106"/>
      <c r="H6" s="106"/>
      <c r="I6" s="106"/>
      <c r="J6" s="105" t="str">
        <f>'F-1'!L5</f>
        <v>Preparer:  Seidman, F.</v>
      </c>
    </row>
    <row r="7" spans="1:10" ht="12.75">
      <c r="A7" s="106"/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2.75">
      <c r="A8" s="105" t="s">
        <v>22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2.75">
      <c r="A9" s="105" t="s">
        <v>23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2.75">
      <c r="A10" s="105" t="s">
        <v>24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10" ht="12.75">
      <c r="A11" s="33"/>
      <c r="B11" s="33"/>
      <c r="C11" s="33"/>
      <c r="D11" s="33"/>
      <c r="E11" s="33"/>
      <c r="F11" s="33"/>
      <c r="G11" s="33"/>
      <c r="H11" s="33"/>
      <c r="I11" s="33"/>
      <c r="J11" s="33"/>
    </row>
    <row r="13" spans="1:9" ht="12.75">
      <c r="A13" s="1" t="s">
        <v>57</v>
      </c>
      <c r="I13"/>
    </row>
    <row r="14" spans="1:9" s="36" customFormat="1" ht="12.75">
      <c r="A14" s="34"/>
      <c r="B14" s="35"/>
      <c r="I14"/>
    </row>
    <row r="15" spans="1:9" s="36" customFormat="1" ht="12.75">
      <c r="A15" s="34"/>
      <c r="I15"/>
    </row>
    <row r="16" spans="1:10" s="36" customFormat="1" ht="12.75">
      <c r="A16" s="34"/>
      <c r="B16" s="36" t="s">
        <v>129</v>
      </c>
      <c r="J16"/>
    </row>
    <row r="17" spans="1:10" s="36" customFormat="1" ht="12.75">
      <c r="A17" s="34"/>
      <c r="E17" s="37"/>
      <c r="J17"/>
    </row>
    <row r="18" spans="1:10" s="36" customFormat="1" ht="12.75">
      <c r="A18" s="34"/>
      <c r="B18" s="36" t="s">
        <v>130</v>
      </c>
      <c r="E18" s="37"/>
      <c r="I18" s="55">
        <f>330+440</f>
        <v>770</v>
      </c>
      <c r="J18" t="s">
        <v>131</v>
      </c>
    </row>
    <row r="19" spans="1:10" s="36" customFormat="1" ht="12.75">
      <c r="A19" s="34"/>
      <c r="B19" s="36" t="s">
        <v>132</v>
      </c>
      <c r="E19" s="37"/>
      <c r="I19" s="55">
        <v>330</v>
      </c>
      <c r="J19" s="53" t="s">
        <v>131</v>
      </c>
    </row>
    <row r="20" spans="1:10" s="36" customFormat="1" ht="12.75">
      <c r="A20" s="34"/>
      <c r="I20" s="55"/>
      <c r="J20"/>
    </row>
    <row r="21" spans="1:10" s="36" customFormat="1" ht="12.75">
      <c r="A21" s="34"/>
      <c r="B21" s="36" t="s">
        <v>133</v>
      </c>
      <c r="I21" s="55">
        <v>0</v>
      </c>
      <c r="J21" s="54" t="s">
        <v>134</v>
      </c>
    </row>
    <row r="22" spans="1:10" s="36" customFormat="1" ht="12.75">
      <c r="A22" s="34"/>
      <c r="B22" s="36" t="s">
        <v>135</v>
      </c>
      <c r="I22" s="55">
        <f>0.9*I21</f>
        <v>0</v>
      </c>
      <c r="J22" s="54" t="s">
        <v>134</v>
      </c>
    </row>
    <row r="23" spans="1:10" s="36" customFormat="1" ht="12.75">
      <c r="A23" s="34"/>
      <c r="B23" s="36" t="s">
        <v>136</v>
      </c>
      <c r="I23" s="55">
        <v>20000</v>
      </c>
      <c r="J23" s="54" t="s">
        <v>134</v>
      </c>
    </row>
    <row r="24" spans="1:10" s="36" customFormat="1" ht="12.75">
      <c r="A24" s="34"/>
      <c r="B24" s="36" t="s">
        <v>137</v>
      </c>
      <c r="I24" s="55">
        <f>+I23/3</f>
        <v>6666.666666666667</v>
      </c>
      <c r="J24" s="54" t="s">
        <v>134</v>
      </c>
    </row>
    <row r="25" spans="1:10" s="36" customFormat="1" ht="12.75">
      <c r="A25" s="34"/>
      <c r="B25" s="36" t="s">
        <v>138</v>
      </c>
      <c r="I25" s="55">
        <f>+I22+I24</f>
        <v>6666.666666666667</v>
      </c>
      <c r="J25" s="54" t="s">
        <v>134</v>
      </c>
    </row>
    <row r="26" spans="1:10" s="36" customFormat="1" ht="12.75">
      <c r="A26" s="34"/>
      <c r="I26" s="55"/>
      <c r="J26"/>
    </row>
    <row r="27" spans="1:10" s="36" customFormat="1" ht="12.75">
      <c r="A27" s="34"/>
      <c r="I27" s="55"/>
      <c r="J27"/>
    </row>
    <row r="28" spans="1:10" s="36" customFormat="1" ht="12.75">
      <c r="A28" s="34"/>
      <c r="B28" s="36" t="s">
        <v>139</v>
      </c>
      <c r="I28" s="55">
        <v>0</v>
      </c>
      <c r="J28" t="s">
        <v>131</v>
      </c>
    </row>
    <row r="29" spans="1:10" s="36" customFormat="1" ht="12.75">
      <c r="A29" s="34"/>
      <c r="I29" s="56"/>
      <c r="J29"/>
    </row>
    <row r="30" spans="1:10" s="36" customFormat="1" ht="12.75">
      <c r="A30" s="34"/>
      <c r="B30" s="36" t="s">
        <v>140</v>
      </c>
      <c r="I30" s="55">
        <f>'F-3'!K30</f>
        <v>157024.43438914028</v>
      </c>
      <c r="J30" t="s">
        <v>141</v>
      </c>
    </row>
    <row r="31" spans="1:10" s="36" customFormat="1" ht="12.75">
      <c r="A31" s="34"/>
      <c r="B31" s="36" t="s">
        <v>142</v>
      </c>
      <c r="I31" s="55">
        <f>'F-3'!K26</f>
        <v>218141.2</v>
      </c>
      <c r="J31" t="s">
        <v>141</v>
      </c>
    </row>
    <row r="32" spans="1:10" s="36" customFormat="1" ht="12.75">
      <c r="A32" s="34"/>
      <c r="B32" s="36" t="s">
        <v>143</v>
      </c>
      <c r="G32" s="55"/>
      <c r="I32" s="55">
        <f>2*I31</f>
        <v>436282.4</v>
      </c>
      <c r="J32" t="s">
        <v>141</v>
      </c>
    </row>
    <row r="33" spans="1:10" s="36" customFormat="1" ht="12.75">
      <c r="A33" s="34"/>
      <c r="F33" s="56"/>
      <c r="I33" s="55"/>
      <c r="J33"/>
    </row>
    <row r="34" spans="1:10" s="36" customFormat="1" ht="12.75">
      <c r="A34" s="34"/>
      <c r="I34" s="55"/>
      <c r="J34"/>
    </row>
    <row r="35" spans="1:10" s="36" customFormat="1" ht="12.75">
      <c r="A35" s="34"/>
      <c r="B35" s="36" t="s">
        <v>144</v>
      </c>
      <c r="E35" s="36" t="s">
        <v>174</v>
      </c>
      <c r="I35" s="55">
        <f>500*60*2</f>
        <v>60000</v>
      </c>
      <c r="J35" t="s">
        <v>141</v>
      </c>
    </row>
    <row r="36" spans="1:10" s="36" customFormat="1" ht="12.75">
      <c r="A36" s="34"/>
      <c r="I36" s="55"/>
      <c r="J36"/>
    </row>
    <row r="37" spans="1:10" s="36" customFormat="1" ht="12.75">
      <c r="A37" s="34"/>
      <c r="B37" s="36" t="s">
        <v>145</v>
      </c>
      <c r="E37" s="37">
        <f>'F-1'!M33</f>
        <v>0.05650126070317804</v>
      </c>
      <c r="F37" s="36" t="s">
        <v>146</v>
      </c>
      <c r="I37" s="55">
        <f>'F-1'!K33/365*10^6</f>
        <v>7442.781875658593</v>
      </c>
      <c r="J37" t="s">
        <v>147</v>
      </c>
    </row>
    <row r="38" spans="1:10" s="36" customFormat="1" ht="12.75">
      <c r="A38" s="34"/>
      <c r="B38" s="36" t="s">
        <v>148</v>
      </c>
      <c r="E38" s="37">
        <v>0.125</v>
      </c>
      <c r="I38" s="55">
        <f>('F-1'!C33/365*10^6)*0.125</f>
        <v>19777.05479452055</v>
      </c>
      <c r="J38" t="s">
        <v>147</v>
      </c>
    </row>
    <row r="39" spans="1:10" s="36" customFormat="1" ht="12.75">
      <c r="A39" s="34"/>
      <c r="B39" s="36" t="s">
        <v>149</v>
      </c>
      <c r="I39" s="55">
        <f>IF(I37&lt;I38,0,I37-I38)</f>
        <v>0</v>
      </c>
      <c r="J39" t="s">
        <v>147</v>
      </c>
    </row>
    <row r="40" spans="1:10" s="36" customFormat="1" ht="12.75">
      <c r="A40" s="34"/>
      <c r="J40"/>
    </row>
    <row r="41" spans="1:10" s="36" customFormat="1" ht="12.75">
      <c r="A41" s="34"/>
      <c r="B41" s="61" t="s">
        <v>180</v>
      </c>
      <c r="C41" s="61"/>
      <c r="D41" s="61"/>
      <c r="J41"/>
    </row>
    <row r="42" spans="1:10" s="36" customFormat="1" ht="12.75">
      <c r="A42" s="34"/>
      <c r="B42" s="36" t="s">
        <v>236</v>
      </c>
      <c r="J42"/>
    </row>
    <row r="43" spans="1:10" s="36" customFormat="1" ht="12.75">
      <c r="A43" s="34"/>
      <c r="B43" s="36" t="s">
        <v>237</v>
      </c>
      <c r="J43"/>
    </row>
    <row r="44" spans="1:10" s="36" customFormat="1" ht="12.75">
      <c r="A44" s="34"/>
      <c r="B44" s="36" t="s">
        <v>238</v>
      </c>
      <c r="J44"/>
    </row>
    <row r="45" spans="1:10" s="36" customFormat="1" ht="12.75">
      <c r="A45" s="34"/>
      <c r="J45"/>
    </row>
    <row r="46" spans="1:10" s="36" customFormat="1" ht="12.75">
      <c r="A46" s="34"/>
      <c r="B46" s="36" t="s">
        <v>181</v>
      </c>
      <c r="J46"/>
    </row>
    <row r="47" spans="1:10" s="36" customFormat="1" ht="12.75">
      <c r="A47" s="34"/>
      <c r="B47" s="36" t="s">
        <v>182</v>
      </c>
      <c r="J47"/>
    </row>
    <row r="48" spans="1:10" s="36" customFormat="1" ht="12.75">
      <c r="A48" s="34"/>
      <c r="B48" s="36" t="s">
        <v>183</v>
      </c>
      <c r="J48"/>
    </row>
    <row r="49" spans="1:10" s="36" customFormat="1" ht="12.75">
      <c r="A49" s="34"/>
      <c r="B49" s="36" t="s">
        <v>205</v>
      </c>
      <c r="J49"/>
    </row>
    <row r="50" spans="1:10" s="36" customFormat="1" ht="12.75">
      <c r="A50" s="34"/>
      <c r="B50" s="36" t="s">
        <v>206</v>
      </c>
      <c r="J50"/>
    </row>
    <row r="51" spans="1:10" s="36" customFormat="1" ht="12.75">
      <c r="A51" s="34"/>
      <c r="J51"/>
    </row>
    <row r="52" spans="1:10" s="36" customFormat="1" ht="12.75">
      <c r="A52" s="34"/>
      <c r="B52" s="36" t="s">
        <v>150</v>
      </c>
      <c r="I52" s="37">
        <f>IF((I54+I55+I56-I57)/I58&gt;1,1,(I54+I55+I56-I57)/I58)</f>
        <v>1</v>
      </c>
      <c r="J52"/>
    </row>
    <row r="53" spans="1:10" s="36" customFormat="1" ht="12.75">
      <c r="A53" s="34"/>
      <c r="J53"/>
    </row>
    <row r="54" spans="1:10" ht="18" customHeight="1">
      <c r="A54" s="34"/>
      <c r="B54" s="36" t="s">
        <v>151</v>
      </c>
      <c r="C54" s="36" t="s">
        <v>152</v>
      </c>
      <c r="D54" s="36"/>
      <c r="E54" s="36"/>
      <c r="F54" s="36"/>
      <c r="G54" s="36"/>
      <c r="H54" s="36"/>
      <c r="I54" s="55">
        <f>+I32/1440</f>
        <v>302.9738888888889</v>
      </c>
      <c r="J54" t="s">
        <v>131</v>
      </c>
    </row>
    <row r="55" spans="1:10" s="36" customFormat="1" ht="12.75">
      <c r="A55" s="34"/>
      <c r="B55" s="36" t="s">
        <v>153</v>
      </c>
      <c r="C55" s="36" t="s">
        <v>154</v>
      </c>
      <c r="I55" s="56">
        <f>'F-8'!H22</f>
        <v>29.97879723176679</v>
      </c>
      <c r="J55" t="s">
        <v>131</v>
      </c>
    </row>
    <row r="56" spans="1:10" s="36" customFormat="1" ht="12.75">
      <c r="A56" s="34"/>
      <c r="B56" s="36" t="s">
        <v>155</v>
      </c>
      <c r="C56" s="36" t="s">
        <v>156</v>
      </c>
      <c r="I56" s="55">
        <f>+I35/120</f>
        <v>500</v>
      </c>
      <c r="J56" t="s">
        <v>131</v>
      </c>
    </row>
    <row r="57" spans="1:10" s="36" customFormat="1" ht="12.75">
      <c r="A57" s="34"/>
      <c r="B57" s="36" t="s">
        <v>157</v>
      </c>
      <c r="C57" s="36" t="s">
        <v>158</v>
      </c>
      <c r="I57" s="55">
        <f>+I39/1440</f>
        <v>0</v>
      </c>
      <c r="J57" t="s">
        <v>131</v>
      </c>
    </row>
    <row r="58" spans="1:10" s="36" customFormat="1" ht="12.75">
      <c r="A58" s="34"/>
      <c r="B58" s="36" t="s">
        <v>159</v>
      </c>
      <c r="C58" s="36" t="s">
        <v>160</v>
      </c>
      <c r="I58" s="55">
        <f>+I19</f>
        <v>330</v>
      </c>
      <c r="J58" t="s">
        <v>131</v>
      </c>
    </row>
    <row r="59" spans="1:10" s="36" customFormat="1" ht="12.75">
      <c r="A59" s="34"/>
      <c r="J59"/>
    </row>
    <row r="60" spans="1:10" s="36" customFormat="1" ht="18.75">
      <c r="A60" s="7"/>
      <c r="B60" s="2"/>
      <c r="C60" s="2"/>
      <c r="D60" s="2"/>
      <c r="E60" s="2"/>
      <c r="F60" s="8"/>
      <c r="G60" s="8"/>
      <c r="H60" s="8"/>
      <c r="I60" s="2"/>
      <c r="J60" s="2"/>
    </row>
    <row r="61" spans="1:10" s="36" customFormat="1" ht="12.75">
      <c r="A61" s="34"/>
      <c r="B61" s="36" t="s">
        <v>161</v>
      </c>
      <c r="J61"/>
    </row>
    <row r="62" spans="1:10" s="36" customFormat="1" ht="12.75">
      <c r="A62" s="34"/>
      <c r="B62" s="36" t="s">
        <v>162</v>
      </c>
      <c r="J62"/>
    </row>
    <row r="63" spans="1:10" ht="12.75" hidden="1">
      <c r="A63" s="34"/>
      <c r="B63" s="36"/>
      <c r="C63" s="36"/>
      <c r="D63" s="36"/>
      <c r="E63" s="36"/>
      <c r="F63" s="36"/>
      <c r="G63" s="36"/>
      <c r="H63" s="36"/>
      <c r="I63" s="36"/>
      <c r="J63"/>
    </row>
    <row r="64" spans="1:10" ht="12.75" hidden="1">
      <c r="A64" s="34"/>
      <c r="B64" s="36"/>
      <c r="C64" s="36"/>
      <c r="D64" s="36"/>
      <c r="E64" s="36"/>
      <c r="F64" s="36"/>
      <c r="G64" s="36"/>
      <c r="H64" s="36"/>
      <c r="I64" s="36"/>
      <c r="J64"/>
    </row>
    <row r="65" spans="1:10" ht="12.75">
      <c r="A65" s="34"/>
      <c r="B65" s="36"/>
      <c r="C65" s="36"/>
      <c r="D65" s="36"/>
      <c r="E65" s="36"/>
      <c r="F65" s="36"/>
      <c r="G65" s="36"/>
      <c r="H65" s="36"/>
      <c r="I65" s="36"/>
      <c r="J65"/>
    </row>
    <row r="66" ht="24">
      <c r="F66" s="81"/>
    </row>
    <row r="103" ht="12">
      <c r="F103" s="6"/>
    </row>
  </sheetData>
  <printOptions/>
  <pageMargins left="0.75" right="0.5" top="1" bottom="1" header="0.5" footer="0.5"/>
  <pageSetup fitToHeight="1" fitToWidth="1" orientation="portrait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4"/>
  <sheetViews>
    <sheetView showGridLines="0" workbookViewId="0" topLeftCell="A24">
      <selection activeCell="C46" sqref="C46"/>
    </sheetView>
  </sheetViews>
  <sheetFormatPr defaultColWidth="9.00390625" defaultRowHeight="12.75"/>
  <cols>
    <col min="1" max="1" width="3.375" style="2" customWidth="1"/>
    <col min="2" max="2" width="3.75390625" style="2" customWidth="1"/>
    <col min="3" max="5" width="8.75390625" style="2" customWidth="1"/>
    <col min="6" max="6" width="9.75390625" style="2" customWidth="1"/>
    <col min="7" max="7" width="22.75390625" style="2" customWidth="1"/>
    <col min="8" max="8" width="2.25390625" style="2" customWidth="1"/>
    <col min="9" max="9" width="12.375" style="2" customWidth="1"/>
    <col min="10" max="193" width="8.75390625" style="2" customWidth="1"/>
    <col min="194" max="16384" width="10.75390625" style="2" customWidth="1"/>
  </cols>
  <sheetData>
    <row r="1" spans="1:10" ht="12.75">
      <c r="A1" s="105" t="s">
        <v>19</v>
      </c>
      <c r="B1" s="106"/>
      <c r="C1" s="106"/>
      <c r="D1" s="106"/>
      <c r="E1" s="106"/>
      <c r="F1" s="106"/>
      <c r="G1" s="105" t="s">
        <v>58</v>
      </c>
      <c r="H1" s="106"/>
      <c r="I1" s="106"/>
      <c r="J1" s="106"/>
    </row>
    <row r="2" spans="1:10" ht="12.75">
      <c r="A2" s="105" t="s">
        <v>59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6"/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2.75">
      <c r="A4" s="105" t="str">
        <f>'F-1'!A4</f>
        <v>Company:  Utilities, Inc. of Florida (630/635-Golden Hills/Crownwood)</v>
      </c>
      <c r="B4" s="106"/>
      <c r="C4" s="106"/>
      <c r="D4" s="106"/>
      <c r="E4" s="106"/>
      <c r="F4" s="106"/>
      <c r="G4" s="106"/>
      <c r="H4" s="105" t="s">
        <v>60</v>
      </c>
      <c r="I4" s="106"/>
      <c r="J4" s="106"/>
    </row>
    <row r="5" spans="1:10" ht="12.75">
      <c r="A5" s="105" t="str">
        <f>'F-1'!A5</f>
        <v>Docket No.: 060253-WS</v>
      </c>
      <c r="B5" s="106"/>
      <c r="C5" s="106"/>
      <c r="D5" s="106"/>
      <c r="E5" s="106"/>
      <c r="F5" s="106"/>
      <c r="G5" s="106"/>
      <c r="H5" s="105" t="s">
        <v>83</v>
      </c>
      <c r="I5" s="106"/>
      <c r="J5" s="106"/>
    </row>
    <row r="6" spans="1:10" ht="12.75">
      <c r="A6" s="105" t="str">
        <f>'F-1'!A6</f>
        <v>Test Year Ended:  December 31, 2005</v>
      </c>
      <c r="B6" s="105"/>
      <c r="C6" s="109"/>
      <c r="D6" s="112"/>
      <c r="E6" s="106"/>
      <c r="F6" s="106"/>
      <c r="G6" s="106"/>
      <c r="H6" s="105" t="str">
        <f>'F-1'!L5</f>
        <v>Preparer:  Seidman, F.</v>
      </c>
      <c r="I6" s="106"/>
      <c r="J6" s="106"/>
    </row>
    <row r="7" spans="1:10" ht="12.75">
      <c r="A7" s="106"/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2.75">
      <c r="A8" s="105" t="s">
        <v>22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0" ht="12.75">
      <c r="A9" s="105" t="s">
        <v>61</v>
      </c>
      <c r="B9" s="106"/>
      <c r="C9" s="106"/>
      <c r="D9" s="106"/>
      <c r="E9" s="106"/>
      <c r="F9" s="106"/>
      <c r="G9" s="106"/>
      <c r="H9" s="106"/>
      <c r="I9" s="106"/>
      <c r="J9" s="106"/>
    </row>
    <row r="10" spans="1:10" ht="12.75">
      <c r="A10" s="105" t="s">
        <v>62</v>
      </c>
      <c r="B10" s="106"/>
      <c r="C10" s="106"/>
      <c r="D10" s="106"/>
      <c r="E10" s="106"/>
      <c r="F10" s="106"/>
      <c r="G10" s="106"/>
      <c r="H10" s="106"/>
      <c r="I10" s="106"/>
      <c r="J10" s="106"/>
    </row>
    <row r="11" spans="1:9" ht="12.75">
      <c r="A11" s="33"/>
      <c r="B11" s="33"/>
      <c r="C11" s="33"/>
      <c r="D11" s="33"/>
      <c r="E11" s="33"/>
      <c r="F11" s="33"/>
      <c r="G11" s="33"/>
      <c r="H11" s="33"/>
      <c r="I11" s="33"/>
    </row>
    <row r="12" ht="12">
      <c r="D12" s="38"/>
    </row>
    <row r="13" spans="1:9" ht="12.75">
      <c r="A13" s="1" t="s">
        <v>63</v>
      </c>
      <c r="G13"/>
      <c r="I13"/>
    </row>
    <row r="14" spans="1:9" ht="12">
      <c r="A14" s="1"/>
      <c r="I14" s="3"/>
    </row>
    <row r="15" ht="12.75"/>
    <row r="16" spans="3:10" ht="12.75">
      <c r="C16" s="36" t="s">
        <v>129</v>
      </c>
      <c r="D16" s="36"/>
      <c r="E16" s="36"/>
      <c r="F16" s="36"/>
      <c r="G16" s="36"/>
      <c r="H16" s="36"/>
      <c r="I16" s="36"/>
      <c r="J16" s="36"/>
    </row>
    <row r="17" spans="3:10" ht="12.75">
      <c r="C17" s="36"/>
      <c r="D17" s="36"/>
      <c r="E17" s="36"/>
      <c r="F17" s="37"/>
      <c r="G17" s="36"/>
      <c r="H17" s="36"/>
      <c r="I17" s="36"/>
      <c r="J17" s="36"/>
    </row>
    <row r="18" spans="3:11" ht="12.75">
      <c r="C18" s="36" t="s">
        <v>199</v>
      </c>
      <c r="D18" s="36"/>
      <c r="E18" s="36"/>
      <c r="F18" s="37"/>
      <c r="G18" s="36"/>
      <c r="H18" s="36"/>
      <c r="I18" s="36"/>
      <c r="J18" s="55">
        <v>40000</v>
      </c>
      <c r="K18" t="s">
        <v>141</v>
      </c>
    </row>
    <row r="19" spans="3:10" ht="12.75">
      <c r="C19" s="36"/>
      <c r="D19" s="36"/>
      <c r="E19" s="36"/>
      <c r="F19" s="36"/>
      <c r="G19" s="36"/>
      <c r="H19" s="36"/>
      <c r="I19" s="36"/>
      <c r="J19" s="55"/>
    </row>
    <row r="20" spans="3:10" ht="12.75">
      <c r="C20" s="36"/>
      <c r="D20" s="36"/>
      <c r="E20" s="36"/>
      <c r="F20" s="36"/>
      <c r="G20" s="36"/>
      <c r="H20" s="36"/>
      <c r="I20" s="36"/>
      <c r="J20" s="56"/>
    </row>
    <row r="21" spans="3:11" ht="12.75">
      <c r="C21" s="36" t="s">
        <v>197</v>
      </c>
      <c r="D21" s="36"/>
      <c r="E21" s="36"/>
      <c r="F21" s="36"/>
      <c r="G21" s="36"/>
      <c r="H21" s="36"/>
      <c r="I21" s="36"/>
      <c r="J21" s="55">
        <f>'F-2'!K31*10^6/365</f>
        <v>21126.027397260277</v>
      </c>
      <c r="K21" t="s">
        <v>141</v>
      </c>
    </row>
    <row r="22" spans="3:11" ht="12.75">
      <c r="C22" s="36" t="s">
        <v>198</v>
      </c>
      <c r="D22" s="36"/>
      <c r="E22" s="36"/>
      <c r="F22" s="36"/>
      <c r="G22" s="36"/>
      <c r="H22" s="36"/>
      <c r="I22" s="36"/>
      <c r="J22" s="55">
        <f>'F-4'!L20</f>
        <v>23774.1935483871</v>
      </c>
      <c r="K22" t="s">
        <v>141</v>
      </c>
    </row>
    <row r="23" spans="3:11" ht="12.75">
      <c r="C23" s="36" t="s">
        <v>179</v>
      </c>
      <c r="D23" s="36"/>
      <c r="E23" s="36"/>
      <c r="F23" s="36"/>
      <c r="G23" s="36"/>
      <c r="H23" s="55"/>
      <c r="I23" s="36"/>
      <c r="J23" s="55">
        <f>'F-4'!L21</f>
        <v>22839.016897081412</v>
      </c>
      <c r="K23" t="s">
        <v>141</v>
      </c>
    </row>
    <row r="24" spans="3:10" ht="12.75">
      <c r="C24" s="36"/>
      <c r="D24" s="36"/>
      <c r="E24" s="36"/>
      <c r="F24" s="36"/>
      <c r="G24" s="36"/>
      <c r="H24" s="36"/>
      <c r="I24" s="36"/>
      <c r="J24" s="55"/>
    </row>
    <row r="25" spans="3:10" ht="12.75">
      <c r="C25" s="36"/>
      <c r="D25" s="36"/>
      <c r="E25" s="36"/>
      <c r="F25" s="37"/>
      <c r="G25" s="36"/>
      <c r="H25" s="36"/>
      <c r="I25" s="36"/>
      <c r="J25" s="55"/>
    </row>
    <row r="26" spans="3:10" ht="12.75">
      <c r="C26" s="36"/>
      <c r="D26" s="36"/>
      <c r="E26" s="36"/>
      <c r="F26" s="37"/>
      <c r="G26" s="36"/>
      <c r="H26" s="36"/>
      <c r="I26" s="36"/>
      <c r="J26" s="55"/>
    </row>
    <row r="27" spans="3:10" ht="12.75">
      <c r="C27" s="36"/>
      <c r="D27" s="36"/>
      <c r="E27" s="36"/>
      <c r="F27" s="36"/>
      <c r="G27" s="36"/>
      <c r="H27" s="36"/>
      <c r="I27" s="36"/>
      <c r="J27" s="55"/>
    </row>
    <row r="28" spans="3:10" ht="12.75">
      <c r="C28" s="36"/>
      <c r="D28" s="36"/>
      <c r="E28" s="36"/>
      <c r="F28" s="36"/>
      <c r="G28" s="36"/>
      <c r="H28" s="36"/>
      <c r="I28" s="36"/>
      <c r="J28" s="36"/>
    </row>
    <row r="29" spans="3:10" ht="12.75">
      <c r="C29" s="61" t="s">
        <v>180</v>
      </c>
      <c r="D29" s="61"/>
      <c r="E29" s="61"/>
      <c r="F29" s="36"/>
      <c r="G29" s="36"/>
      <c r="H29" s="36"/>
      <c r="I29" s="36"/>
      <c r="J29" s="36"/>
    </row>
    <row r="30" spans="3:10" ht="12.75">
      <c r="C30" s="36"/>
      <c r="D30" s="36"/>
      <c r="E30" s="36"/>
      <c r="F30" s="36"/>
      <c r="G30" s="36"/>
      <c r="H30" s="36"/>
      <c r="I30" s="36"/>
      <c r="J30" s="36"/>
    </row>
    <row r="31" spans="3:10" ht="12.75">
      <c r="C31" s="36" t="s">
        <v>239</v>
      </c>
      <c r="D31" s="36"/>
      <c r="E31" s="36"/>
      <c r="F31" s="36"/>
      <c r="G31" s="36"/>
      <c r="H31" s="36"/>
      <c r="I31" s="36"/>
      <c r="J31" s="36"/>
    </row>
    <row r="32" spans="3:10" ht="12.75">
      <c r="C32" s="36" t="s">
        <v>256</v>
      </c>
      <c r="D32" s="36"/>
      <c r="E32" s="36"/>
      <c r="F32" s="36"/>
      <c r="G32" s="36"/>
      <c r="H32" s="36"/>
      <c r="I32" s="36"/>
      <c r="J32" s="36"/>
    </row>
    <row r="33" spans="3:10" ht="12.75">
      <c r="C33" s="36" t="s">
        <v>259</v>
      </c>
      <c r="D33" s="36"/>
      <c r="E33" s="36"/>
      <c r="F33" s="36"/>
      <c r="G33" s="36"/>
      <c r="H33" s="36"/>
      <c r="I33" s="36"/>
      <c r="J33" s="36"/>
    </row>
    <row r="34" spans="3:10" ht="12.75">
      <c r="C34" s="36" t="s">
        <v>260</v>
      </c>
      <c r="D34" s="36"/>
      <c r="E34" s="36"/>
      <c r="F34" s="36"/>
      <c r="G34" s="36"/>
      <c r="H34" s="36"/>
      <c r="I34" s="36"/>
      <c r="J34" s="36"/>
    </row>
    <row r="35" spans="3:10" ht="12.75">
      <c r="C35" s="36" t="s">
        <v>261</v>
      </c>
      <c r="D35" s="36"/>
      <c r="E35" s="36"/>
      <c r="F35" s="36"/>
      <c r="G35" s="36"/>
      <c r="H35" s="36"/>
      <c r="I35" s="36"/>
      <c r="J35" s="36"/>
    </row>
    <row r="36" spans="3:10" ht="12.75">
      <c r="C36" s="36" t="s">
        <v>257</v>
      </c>
      <c r="D36" s="36"/>
      <c r="E36" s="36"/>
      <c r="F36" s="36"/>
      <c r="G36" s="36"/>
      <c r="H36" s="36"/>
      <c r="I36" s="36"/>
      <c r="J36" s="36"/>
    </row>
    <row r="37" spans="3:10" ht="12.75">
      <c r="C37" s="36" t="s">
        <v>262</v>
      </c>
      <c r="D37" s="36"/>
      <c r="E37" s="36"/>
      <c r="F37" s="36"/>
      <c r="G37" s="36"/>
      <c r="H37" s="36"/>
      <c r="I37" s="36"/>
      <c r="J37" s="36"/>
    </row>
    <row r="38" spans="3:10" ht="12.75">
      <c r="C38" s="36"/>
      <c r="D38" s="36"/>
      <c r="E38" s="36"/>
      <c r="F38" s="36"/>
      <c r="G38" s="36"/>
      <c r="H38" s="36"/>
      <c r="I38" s="36"/>
      <c r="J38" s="36"/>
    </row>
    <row r="39" spans="3:10" ht="12.75">
      <c r="C39" s="36"/>
      <c r="D39" s="36"/>
      <c r="E39" s="36"/>
      <c r="F39" s="36"/>
      <c r="G39" s="36"/>
      <c r="H39" s="36"/>
      <c r="I39" s="36"/>
      <c r="J39" s="36"/>
    </row>
    <row r="40" spans="3:10" ht="12.75">
      <c r="C40" s="36" t="s">
        <v>201</v>
      </c>
      <c r="D40" s="36"/>
      <c r="E40" s="36"/>
      <c r="F40" s="36"/>
      <c r="G40" s="36"/>
      <c r="H40" s="36"/>
      <c r="I40" s="36"/>
      <c r="J40" s="37">
        <f>IF((J43+J44-J45)/J46&gt;1,1,(J43+J44-J45)/J46)</f>
        <v>0.6125811532399218</v>
      </c>
    </row>
    <row r="41" spans="3:10" ht="12.75">
      <c r="C41" s="36"/>
      <c r="D41" s="36"/>
      <c r="E41" s="36"/>
      <c r="F41" s="36"/>
      <c r="G41" s="36" t="s">
        <v>258</v>
      </c>
      <c r="H41" s="36"/>
      <c r="I41" s="36"/>
      <c r="J41" s="37">
        <v>0.6865</v>
      </c>
    </row>
    <row r="42" spans="3:10" ht="12.75">
      <c r="C42" s="36"/>
      <c r="D42" s="36"/>
      <c r="E42" s="36"/>
      <c r="F42" s="36"/>
      <c r="G42" s="36"/>
      <c r="H42" s="36"/>
      <c r="I42" s="36"/>
      <c r="J42" s="37"/>
    </row>
    <row r="43" spans="3:11" ht="12.75">
      <c r="C43" s="36" t="s">
        <v>151</v>
      </c>
      <c r="D43" s="36" t="s">
        <v>220</v>
      </c>
      <c r="E43" s="36"/>
      <c r="F43" s="36"/>
      <c r="G43" s="36"/>
      <c r="H43" s="36"/>
      <c r="I43" s="36"/>
      <c r="J43" s="55">
        <f>J23</f>
        <v>22839.016897081412</v>
      </c>
      <c r="K43" t="s">
        <v>141</v>
      </c>
    </row>
    <row r="44" spans="3:11" ht="12.75">
      <c r="C44" s="36" t="s">
        <v>153</v>
      </c>
      <c r="D44" s="36" t="s">
        <v>218</v>
      </c>
      <c r="E44" s="36"/>
      <c r="F44" s="36"/>
      <c r="G44" s="36"/>
      <c r="H44" s="36"/>
      <c r="I44" s="36"/>
      <c r="J44" s="55">
        <f>'F-8'!H34</f>
        <v>1664.229232515458</v>
      </c>
      <c r="K44" t="s">
        <v>141</v>
      </c>
    </row>
    <row r="45" spans="3:11" ht="12.75">
      <c r="C45" s="36" t="s">
        <v>155</v>
      </c>
      <c r="D45" s="36" t="s">
        <v>200</v>
      </c>
      <c r="E45" s="36"/>
      <c r="F45" s="36"/>
      <c r="G45" s="36"/>
      <c r="H45" s="36"/>
      <c r="I45" s="36"/>
      <c r="J45" s="55">
        <f>+J27/1440</f>
        <v>0</v>
      </c>
      <c r="K45" t="s">
        <v>141</v>
      </c>
    </row>
    <row r="46" spans="3:11" ht="12.75">
      <c r="C46" s="36" t="s">
        <v>157</v>
      </c>
      <c r="D46" s="36" t="s">
        <v>202</v>
      </c>
      <c r="E46" s="36"/>
      <c r="F46" s="36"/>
      <c r="G46" s="36"/>
      <c r="H46" s="36"/>
      <c r="I46" s="36"/>
      <c r="J46" s="55">
        <f>J18</f>
        <v>40000</v>
      </c>
      <c r="K46" t="s">
        <v>141</v>
      </c>
    </row>
    <row r="47" spans="3:10" ht="12.75">
      <c r="C47" s="36"/>
      <c r="D47" s="36"/>
      <c r="E47" s="36"/>
      <c r="F47" s="36"/>
      <c r="G47" s="36"/>
      <c r="H47" s="36"/>
      <c r="I47" s="36"/>
      <c r="J47" s="36"/>
    </row>
    <row r="48" spans="1:9" ht="18" customHeight="1">
      <c r="A48" s="7"/>
      <c r="G48" s="8"/>
      <c r="H48" s="8"/>
      <c r="I48" s="8"/>
    </row>
    <row r="49" spans="3:10" ht="12.75">
      <c r="C49" s="36" t="s">
        <v>209</v>
      </c>
      <c r="D49" s="36"/>
      <c r="E49" s="36"/>
      <c r="F49" s="36"/>
      <c r="G49" s="36"/>
      <c r="H49" s="36"/>
      <c r="I49" s="36"/>
      <c r="J49" s="36"/>
    </row>
    <row r="50" spans="3:11" ht="12.75">
      <c r="C50" s="36"/>
      <c r="D50" s="36"/>
      <c r="E50" s="36"/>
      <c r="F50" s="36"/>
      <c r="G50" s="36"/>
      <c r="H50" s="36"/>
      <c r="I50" s="36"/>
      <c r="J50" s="36"/>
      <c r="K50"/>
    </row>
    <row r="52" spans="6:7" ht="18" customHeight="1">
      <c r="F52" s="8"/>
      <c r="G52" s="8"/>
    </row>
    <row r="54" ht="24">
      <c r="G54" s="82"/>
    </row>
  </sheetData>
  <printOptions/>
  <pageMargins left="0.75" right="0.5" top="1" bottom="1" header="0.5" footer="0.5"/>
  <pageSetup fitToHeight="1" fitToWidth="1" orientation="portrait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workbookViewId="0" topLeftCell="B11">
      <selection activeCell="C26" sqref="C26"/>
    </sheetView>
  </sheetViews>
  <sheetFormatPr defaultColWidth="9.00390625" defaultRowHeight="12.75"/>
  <cols>
    <col min="1" max="1" width="4.75390625" style="2" customWidth="1"/>
    <col min="2" max="5" width="8.75390625" style="2" customWidth="1"/>
    <col min="6" max="6" width="24.75390625" style="2" customWidth="1"/>
    <col min="7" max="7" width="13.75390625" style="2" customWidth="1"/>
    <col min="8" max="8" width="3.75390625" style="2" customWidth="1"/>
    <col min="9" max="9" width="15.375" style="2" customWidth="1"/>
    <col min="10" max="16384" width="8.75390625" style="2" customWidth="1"/>
  </cols>
  <sheetData>
    <row r="1" spans="1:9" ht="12.75">
      <c r="A1" s="105" t="s">
        <v>19</v>
      </c>
      <c r="B1" s="106"/>
      <c r="C1" s="106"/>
      <c r="D1" s="106"/>
      <c r="E1" s="106"/>
      <c r="F1" s="106"/>
      <c r="G1" s="105" t="s">
        <v>80</v>
      </c>
      <c r="H1" s="106"/>
      <c r="I1" s="106"/>
    </row>
    <row r="2" spans="1:9" ht="12.75">
      <c r="A2" s="105" t="s">
        <v>64</v>
      </c>
      <c r="B2" s="106"/>
      <c r="C2" s="106"/>
      <c r="D2" s="106"/>
      <c r="E2" s="106"/>
      <c r="F2" s="106"/>
      <c r="G2" s="106"/>
      <c r="H2" s="106"/>
      <c r="I2" s="106"/>
    </row>
    <row r="3" spans="1:9" ht="12.75">
      <c r="A3" s="106"/>
      <c r="B3" s="106"/>
      <c r="C3" s="106"/>
      <c r="D3" s="106"/>
      <c r="E3" s="106"/>
      <c r="F3" s="106"/>
      <c r="G3" s="106"/>
      <c r="H3" s="106"/>
      <c r="I3" s="106"/>
    </row>
    <row r="4" spans="1:9" ht="12.75">
      <c r="A4" s="105" t="str">
        <f>'F-1'!A4</f>
        <v>Company:  Utilities, Inc. of Florida (630/635-Golden Hills/Crownwood)</v>
      </c>
      <c r="B4" s="106"/>
      <c r="C4" s="106"/>
      <c r="D4" s="106"/>
      <c r="E4" s="106"/>
      <c r="F4" s="106"/>
      <c r="G4" s="106"/>
      <c r="H4" s="106"/>
      <c r="I4" s="105" t="s">
        <v>65</v>
      </c>
    </row>
    <row r="5" spans="1:9" ht="12.75">
      <c r="A5" s="105" t="str">
        <f>'F-1'!A5</f>
        <v>Docket No.: 060253-WS</v>
      </c>
      <c r="B5" s="106"/>
      <c r="C5" s="106"/>
      <c r="D5" s="106"/>
      <c r="E5" s="106"/>
      <c r="F5" s="106"/>
      <c r="G5" s="106"/>
      <c r="H5" s="106"/>
      <c r="I5" s="105" t="s">
        <v>83</v>
      </c>
    </row>
    <row r="6" spans="1:9" ht="12.75">
      <c r="A6" s="105" t="str">
        <f>'F-1'!A6</f>
        <v>Test Year Ended:  December 31, 2005</v>
      </c>
      <c r="B6" s="106"/>
      <c r="C6" s="112"/>
      <c r="D6" s="106"/>
      <c r="E6" s="106"/>
      <c r="F6" s="106"/>
      <c r="G6" s="106"/>
      <c r="H6" s="106"/>
      <c r="I6" s="105" t="str">
        <f>'F-1'!L5</f>
        <v>Preparer:  Seidman, F.</v>
      </c>
    </row>
    <row r="7" spans="1:9" ht="12.75">
      <c r="A7" s="106"/>
      <c r="B7" s="106"/>
      <c r="C7" s="106"/>
      <c r="D7" s="106"/>
      <c r="E7" s="106"/>
      <c r="F7" s="106"/>
      <c r="G7" s="106"/>
      <c r="H7" s="106"/>
      <c r="I7" s="106"/>
    </row>
    <row r="8" spans="1:9" ht="12.75">
      <c r="A8" s="105" t="s">
        <v>66</v>
      </c>
      <c r="B8" s="106"/>
      <c r="C8" s="106"/>
      <c r="D8" s="106"/>
      <c r="E8" s="106"/>
      <c r="F8" s="106"/>
      <c r="G8" s="106"/>
      <c r="H8" s="106"/>
      <c r="I8" s="106"/>
    </row>
    <row r="9" spans="1:9" ht="12.75">
      <c r="A9" s="105" t="s">
        <v>67</v>
      </c>
      <c r="B9" s="106"/>
      <c r="C9" s="106"/>
      <c r="D9" s="106"/>
      <c r="E9" s="106"/>
      <c r="F9" s="106"/>
      <c r="G9" s="106"/>
      <c r="H9" s="106"/>
      <c r="I9" s="106"/>
    </row>
    <row r="10" spans="1:9" ht="12.75">
      <c r="A10" s="105" t="s">
        <v>68</v>
      </c>
      <c r="B10" s="106"/>
      <c r="C10" s="106"/>
      <c r="D10" s="106"/>
      <c r="E10" s="106"/>
      <c r="F10" s="106"/>
      <c r="G10" s="106"/>
      <c r="H10" s="106"/>
      <c r="I10" s="106"/>
    </row>
    <row r="11" spans="1:9" ht="12.75">
      <c r="A11" s="105" t="s">
        <v>69</v>
      </c>
      <c r="B11" s="106"/>
      <c r="C11" s="106"/>
      <c r="D11" s="106"/>
      <c r="E11" s="106"/>
      <c r="F11" s="106"/>
      <c r="G11" s="106"/>
      <c r="H11" s="106"/>
      <c r="I11" s="106"/>
    </row>
    <row r="12" spans="1:9" ht="12.75">
      <c r="A12" s="105" t="s">
        <v>70</v>
      </c>
      <c r="B12" s="106"/>
      <c r="C12" s="106"/>
      <c r="D12" s="106"/>
      <c r="E12" s="106"/>
      <c r="F12" s="106"/>
      <c r="G12" s="106"/>
      <c r="H12" s="106"/>
      <c r="I12" s="106"/>
    </row>
    <row r="13" spans="1:9" ht="12.75">
      <c r="A13" s="105" t="s">
        <v>71</v>
      </c>
      <c r="B13" s="106"/>
      <c r="C13" s="106"/>
      <c r="D13" s="106"/>
      <c r="E13" s="106"/>
      <c r="F13" s="106"/>
      <c r="G13" s="106"/>
      <c r="H13" s="106"/>
      <c r="I13" s="106"/>
    </row>
    <row r="14" spans="1:9" ht="12.75">
      <c r="A14" s="105" t="s">
        <v>72</v>
      </c>
      <c r="B14" s="106"/>
      <c r="C14" s="106"/>
      <c r="D14" s="106"/>
      <c r="E14" s="106"/>
      <c r="F14" s="106"/>
      <c r="G14" s="106"/>
      <c r="H14" s="106"/>
      <c r="I14" s="106"/>
    </row>
    <row r="15" spans="1:10" ht="12">
      <c r="A15" s="3" t="s">
        <v>88</v>
      </c>
      <c r="B15" s="3" t="s">
        <v>88</v>
      </c>
      <c r="C15" s="3" t="s">
        <v>88</v>
      </c>
      <c r="D15" s="3" t="s">
        <v>88</v>
      </c>
      <c r="E15" s="3" t="s">
        <v>88</v>
      </c>
      <c r="F15" s="3" t="s">
        <v>88</v>
      </c>
      <c r="G15" s="3" t="s">
        <v>88</v>
      </c>
      <c r="H15" s="3" t="s">
        <v>88</v>
      </c>
      <c r="I15" s="3" t="s">
        <v>88</v>
      </c>
      <c r="J15" s="3" t="s">
        <v>88</v>
      </c>
    </row>
    <row r="17" spans="1:9" ht="12.75">
      <c r="A17" s="1" t="s">
        <v>73</v>
      </c>
      <c r="G17" s="39"/>
      <c r="H17" s="39"/>
      <c r="I17"/>
    </row>
    <row r="19" ht="12.75"/>
    <row r="20" spans="3:6" ht="12.75">
      <c r="C20" s="61" t="s">
        <v>207</v>
      </c>
      <c r="E20" s="61"/>
      <c r="F20" s="61"/>
    </row>
    <row r="21" spans="3:4" ht="12.75">
      <c r="C21" s="36" t="s">
        <v>244</v>
      </c>
      <c r="D21" s="2"/>
    </row>
    <row r="22" spans="3:4" ht="12.75">
      <c r="C22" s="36" t="s">
        <v>245</v>
      </c>
      <c r="D22" s="2"/>
    </row>
    <row r="23" spans="3:4" ht="12.75">
      <c r="C23" s="36" t="s">
        <v>264</v>
      </c>
      <c r="D23" s="2"/>
    </row>
    <row r="24" ht="12.75"/>
    <row r="25" ht="12.75">
      <c r="C25" s="104"/>
    </row>
    <row r="26" ht="12.75">
      <c r="C26" s="104"/>
    </row>
    <row r="27" spans="3:7" ht="12.75">
      <c r="C27" s="104"/>
      <c r="G27" s="35"/>
    </row>
    <row r="28" ht="12.75"/>
    <row r="29" ht="12.75"/>
    <row r="30" ht="12.75">
      <c r="C30" s="61" t="s">
        <v>210</v>
      </c>
    </row>
    <row r="31" ht="12.75">
      <c r="C31" t="s">
        <v>240</v>
      </c>
    </row>
    <row r="32" ht="12.75">
      <c r="C32" t="s">
        <v>241</v>
      </c>
    </row>
    <row r="33" ht="12.75">
      <c r="C33" t="s">
        <v>242</v>
      </c>
    </row>
    <row r="34" ht="12.75">
      <c r="C34" t="s">
        <v>243</v>
      </c>
    </row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24">
      <c r="F49" s="82"/>
    </row>
    <row r="50" ht="12.75"/>
    <row r="51" ht="12.75"/>
    <row r="52" ht="12.75"/>
    <row r="53" ht="12.75"/>
    <row r="54" ht="12.75"/>
    <row r="55" ht="12.75"/>
    <row r="56" ht="12.75"/>
    <row r="57" spans="5:6" ht="18.75">
      <c r="E57" s="6"/>
      <c r="F57" s="40"/>
    </row>
  </sheetData>
  <printOptions/>
  <pageMargins left="0.8" right="0.5" top="1" bottom="1" header="0.5" footer="0.5"/>
  <pageSetup fitToHeight="1" fitToWidth="1" orientation="portrait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8"/>
  <sheetViews>
    <sheetView showGridLines="0" workbookViewId="0" topLeftCell="A28">
      <selection activeCell="H45" sqref="H45"/>
    </sheetView>
  </sheetViews>
  <sheetFormatPr defaultColWidth="9.00390625" defaultRowHeight="12.75"/>
  <cols>
    <col min="1" max="1" width="4.375" style="2" customWidth="1"/>
    <col min="2" max="2" width="10.625" style="2" customWidth="1"/>
    <col min="3" max="5" width="8.75390625" style="2" customWidth="1"/>
    <col min="6" max="6" width="12.125" style="2" customWidth="1"/>
    <col min="7" max="7" width="9.875" style="2" customWidth="1"/>
    <col min="8" max="8" width="6.875" style="2" customWidth="1"/>
    <col min="9" max="9" width="10.75390625" style="2" customWidth="1"/>
    <col min="10" max="12" width="8.75390625" style="2" customWidth="1"/>
    <col min="13" max="13" width="3.75390625" style="2" customWidth="1"/>
    <col min="14" max="14" width="1.75390625" style="2" customWidth="1"/>
    <col min="15" max="15" width="8.75390625" style="2" customWidth="1"/>
    <col min="16" max="16" width="1.75390625" style="2" customWidth="1"/>
    <col min="17" max="17" width="8.75390625" style="2" customWidth="1"/>
    <col min="18" max="18" width="1.75390625" style="2" customWidth="1"/>
    <col min="19" max="19" width="8.75390625" style="2" customWidth="1"/>
    <col min="20" max="20" width="1.75390625" style="2" customWidth="1"/>
    <col min="21" max="21" width="8.75390625" style="2" customWidth="1"/>
    <col min="22" max="22" width="1.75390625" style="2" customWidth="1"/>
    <col min="23" max="23" width="11.75390625" style="2" customWidth="1"/>
    <col min="24" max="24" width="1.75390625" style="2" customWidth="1"/>
    <col min="25" max="25" width="8.75390625" style="2" customWidth="1"/>
    <col min="26" max="26" width="1.75390625" style="2" customWidth="1"/>
    <col min="27" max="27" width="11.75390625" style="2" customWidth="1"/>
    <col min="28" max="28" width="1.75390625" style="2" customWidth="1"/>
    <col min="29" max="29" width="8.75390625" style="2" customWidth="1"/>
    <col min="30" max="30" width="1.75390625" style="2" customWidth="1"/>
    <col min="31" max="217" width="8.75390625" style="2" customWidth="1"/>
    <col min="218" max="16384" width="10.75390625" style="2" customWidth="1"/>
  </cols>
  <sheetData>
    <row r="1" spans="1:10" ht="12.75">
      <c r="A1" s="105" t="s">
        <v>74</v>
      </c>
      <c r="B1" s="106"/>
      <c r="C1" s="106"/>
      <c r="D1" s="106"/>
      <c r="E1" s="106"/>
      <c r="F1" s="106"/>
      <c r="G1" s="106"/>
      <c r="H1" s="105" t="s">
        <v>80</v>
      </c>
      <c r="I1" s="106"/>
      <c r="J1" s="106"/>
    </row>
    <row r="2" spans="1:10" ht="12.75">
      <c r="A2" s="106"/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5" t="str">
        <f>'F-1'!A4</f>
        <v>Company:  Utilities, Inc. of Florida (630/635-Golden Hills/Crownwood)</v>
      </c>
      <c r="B3" s="106"/>
      <c r="C3" s="106"/>
      <c r="D3" s="106"/>
      <c r="E3" s="106"/>
      <c r="F3" s="106"/>
      <c r="G3" s="106"/>
      <c r="H3" s="106"/>
      <c r="I3" s="106"/>
      <c r="J3" s="105" t="s">
        <v>75</v>
      </c>
    </row>
    <row r="4" spans="1:10" ht="12.75">
      <c r="A4" s="105" t="str">
        <f>'F-1'!A5</f>
        <v>Docket No.: 060253-WS</v>
      </c>
      <c r="B4" s="106"/>
      <c r="C4" s="106"/>
      <c r="D4" s="106"/>
      <c r="E4" s="106"/>
      <c r="F4" s="106"/>
      <c r="G4" s="106"/>
      <c r="H4" s="106"/>
      <c r="I4" s="106"/>
      <c r="J4" s="105" t="s">
        <v>83</v>
      </c>
    </row>
    <row r="5" spans="1:10" ht="12.75">
      <c r="A5" s="105" t="str">
        <f>'F-1'!A6</f>
        <v>Test Year Ended:  December 31, 2005</v>
      </c>
      <c r="B5" s="106"/>
      <c r="C5" s="109"/>
      <c r="D5" s="106"/>
      <c r="E5" s="106"/>
      <c r="F5" s="106"/>
      <c r="G5" s="106"/>
      <c r="H5" s="106"/>
      <c r="I5" s="106"/>
      <c r="J5" s="105" t="str">
        <f>'F-1'!L5</f>
        <v>Preparer:  Seidman, F.</v>
      </c>
    </row>
    <row r="6" spans="1:10" ht="12.75">
      <c r="A6" s="106"/>
      <c r="B6" s="106"/>
      <c r="C6" s="106"/>
      <c r="D6" s="106"/>
      <c r="E6" s="106"/>
      <c r="F6" s="106"/>
      <c r="G6" s="106"/>
      <c r="H6" s="106"/>
      <c r="I6" s="106"/>
      <c r="J6" s="106"/>
    </row>
    <row r="7" spans="1:10" ht="12.75">
      <c r="A7" s="105" t="s">
        <v>76</v>
      </c>
      <c r="B7" s="106"/>
      <c r="C7" s="106"/>
      <c r="D7" s="106"/>
      <c r="E7" s="106"/>
      <c r="F7" s="106"/>
      <c r="G7" s="106"/>
      <c r="H7" s="106"/>
      <c r="I7" s="106"/>
      <c r="J7" s="106"/>
    </row>
    <row r="8" spans="1:10" ht="12.75">
      <c r="A8" s="105" t="s">
        <v>77</v>
      </c>
      <c r="B8" s="106"/>
      <c r="C8" s="106"/>
      <c r="D8" s="106"/>
      <c r="E8" s="106"/>
      <c r="F8" s="106"/>
      <c r="G8" s="106"/>
      <c r="H8" s="106"/>
      <c r="I8" s="106"/>
      <c r="J8" s="106"/>
    </row>
    <row r="9" spans="1:11" ht="12.7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ht="12">
      <c r="C10" s="38"/>
    </row>
    <row r="12" spans="1:9" ht="12.75">
      <c r="A12" s="1" t="s">
        <v>78</v>
      </c>
      <c r="G12"/>
      <c r="I12" s="41"/>
    </row>
    <row r="15" spans="2:4" ht="12.75">
      <c r="B15" s="61" t="s">
        <v>203</v>
      </c>
      <c r="C15" s="61"/>
      <c r="D15" s="61"/>
    </row>
    <row r="16" spans="2:4" ht="12.75">
      <c r="B16" t="s">
        <v>184</v>
      </c>
      <c r="D16" s="2"/>
    </row>
    <row r="17" ht="12.75">
      <c r="D17" s="2"/>
    </row>
    <row r="18" spans="2:4" ht="12.75">
      <c r="B18" t="s">
        <v>185</v>
      </c>
      <c r="D18" s="2"/>
    </row>
    <row r="19" spans="2:9" ht="12.75">
      <c r="B19" t="s">
        <v>186</v>
      </c>
      <c r="C19" t="s">
        <v>187</v>
      </c>
      <c r="D19" s="2"/>
      <c r="G19" s="2"/>
      <c r="H19" s="67">
        <f>+'F-9'!Q38</f>
        <v>10.009709907623982</v>
      </c>
      <c r="I19" t="s">
        <v>188</v>
      </c>
    </row>
    <row r="20" spans="2:9" ht="12.75">
      <c r="B20" t="s">
        <v>189</v>
      </c>
      <c r="C20" t="s">
        <v>190</v>
      </c>
      <c r="D20" s="2"/>
      <c r="G20" s="2"/>
      <c r="H20">
        <v>5</v>
      </c>
      <c r="I20" t="s">
        <v>191</v>
      </c>
    </row>
    <row r="21" spans="2:9" ht="12.75">
      <c r="B21" t="s">
        <v>192</v>
      </c>
      <c r="C21" t="s">
        <v>193</v>
      </c>
      <c r="D21" s="2"/>
      <c r="G21" s="2"/>
      <c r="H21" s="62">
        <f>'F-5'!I54/'F-9'!Q25</f>
        <v>0.598994326677403</v>
      </c>
      <c r="I21" t="s">
        <v>253</v>
      </c>
    </row>
    <row r="22" spans="2:9" ht="12.75">
      <c r="B22" t="s">
        <v>194</v>
      </c>
      <c r="C22" t="s">
        <v>195</v>
      </c>
      <c r="D22" s="2"/>
      <c r="G22" s="2"/>
      <c r="H22" s="63">
        <f>+H19*H20*H21</f>
        <v>29.97879723176679</v>
      </c>
      <c r="I22" t="s">
        <v>131</v>
      </c>
    </row>
    <row r="23" ht="12.75"/>
    <row r="24" ht="12.75">
      <c r="C24" s="113" t="s">
        <v>255</v>
      </c>
    </row>
    <row r="25" ht="12.75"/>
    <row r="26" ht="12.75"/>
    <row r="27" spans="2:4" ht="12.75">
      <c r="B27" s="61" t="s">
        <v>204</v>
      </c>
      <c r="C27" s="61"/>
      <c r="D27" s="61"/>
    </row>
    <row r="28" spans="2:4" ht="12.75">
      <c r="B28" t="s">
        <v>184</v>
      </c>
      <c r="D28" s="2"/>
    </row>
    <row r="29" ht="12.75">
      <c r="D29" s="2"/>
    </row>
    <row r="30" spans="2:4" ht="12.75">
      <c r="B30" t="s">
        <v>185</v>
      </c>
      <c r="D30" s="2"/>
    </row>
    <row r="31" spans="2:9" ht="12.75">
      <c r="B31" t="s">
        <v>186</v>
      </c>
      <c r="C31" t="s">
        <v>187</v>
      </c>
      <c r="D31" s="2"/>
      <c r="G31" s="2"/>
      <c r="H31" s="63">
        <f>'F-10'!Q57</f>
        <v>7.371370299705075</v>
      </c>
      <c r="I31" t="s">
        <v>188</v>
      </c>
    </row>
    <row r="32" spans="2:9" ht="12.75">
      <c r="B32" t="s">
        <v>189</v>
      </c>
      <c r="C32" t="s">
        <v>190</v>
      </c>
      <c r="D32" s="2"/>
      <c r="G32" s="2"/>
      <c r="H32">
        <v>5</v>
      </c>
      <c r="I32" t="s">
        <v>252</v>
      </c>
    </row>
    <row r="33" spans="2:9" ht="12.75">
      <c r="B33" t="s">
        <v>192</v>
      </c>
      <c r="C33" t="s">
        <v>193</v>
      </c>
      <c r="D33" s="2"/>
      <c r="G33" s="2"/>
      <c r="H33" s="63">
        <f>'F-6'!J43/'F-9'!Q25</f>
        <v>45.15386325340468</v>
      </c>
      <c r="I33" t="s">
        <v>208</v>
      </c>
    </row>
    <row r="34" spans="2:9" ht="12.75">
      <c r="B34" t="s">
        <v>194</v>
      </c>
      <c r="C34" t="s">
        <v>195</v>
      </c>
      <c r="D34" s="2"/>
      <c r="G34" s="2"/>
      <c r="H34" s="63">
        <f>+H31*H32*H33</f>
        <v>1664.229232515458</v>
      </c>
      <c r="I34" t="s">
        <v>141</v>
      </c>
    </row>
    <row r="35" spans="4:8" ht="12.75">
      <c r="D35" s="2"/>
      <c r="H35" s="63"/>
    </row>
    <row r="36" ht="12.75">
      <c r="C36" s="113" t="s">
        <v>254</v>
      </c>
    </row>
    <row r="37" ht="12.75"/>
    <row r="38" spans="2:4" ht="12.75">
      <c r="B38" s="61" t="s">
        <v>211</v>
      </c>
      <c r="C38" s="61"/>
      <c r="D38" s="61"/>
    </row>
    <row r="39" spans="2:4" ht="12.75">
      <c r="B39" t="s">
        <v>184</v>
      </c>
      <c r="D39" s="2"/>
    </row>
    <row r="40" ht="12.75">
      <c r="D40" s="2"/>
    </row>
    <row r="41" spans="2:4" ht="12.75">
      <c r="B41" t="s">
        <v>185</v>
      </c>
      <c r="D41" s="2"/>
    </row>
    <row r="42" spans="2:9" ht="12.75">
      <c r="B42" t="s">
        <v>186</v>
      </c>
      <c r="C42" t="s">
        <v>187</v>
      </c>
      <c r="D42" s="2"/>
      <c r="G42" s="2"/>
      <c r="H42" s="67">
        <v>10</v>
      </c>
      <c r="I42" t="s">
        <v>188</v>
      </c>
    </row>
    <row r="43" spans="2:9" ht="12.75">
      <c r="B43" t="s">
        <v>189</v>
      </c>
      <c r="C43" t="s">
        <v>190</v>
      </c>
      <c r="D43" s="2"/>
      <c r="G43" s="2"/>
      <c r="H43">
        <v>5</v>
      </c>
      <c r="I43" t="s">
        <v>191</v>
      </c>
    </row>
    <row r="44" spans="2:9" ht="12.75">
      <c r="B44" t="s">
        <v>192</v>
      </c>
      <c r="C44" t="s">
        <v>193</v>
      </c>
      <c r="D44" s="2"/>
      <c r="G44" s="2"/>
      <c r="H44" s="62">
        <v>1</v>
      </c>
      <c r="I44" t="s">
        <v>196</v>
      </c>
    </row>
    <row r="45" spans="2:9" ht="12.75">
      <c r="B45" t="s">
        <v>194</v>
      </c>
      <c r="C45" t="s">
        <v>195</v>
      </c>
      <c r="D45" s="2"/>
      <c r="G45" s="2"/>
      <c r="H45" s="63">
        <f>+H42*H43*H44</f>
        <v>50</v>
      </c>
      <c r="I45" t="s">
        <v>43</v>
      </c>
    </row>
    <row r="46" ht="12.75"/>
    <row r="47" ht="12.75">
      <c r="B47" s="61" t="s">
        <v>210</v>
      </c>
    </row>
    <row r="48" spans="2:4" ht="12.75">
      <c r="B48" s="61" t="s">
        <v>263</v>
      </c>
      <c r="C48" s="61"/>
      <c r="D48" s="61"/>
    </row>
    <row r="49" ht="12.75">
      <c r="D49" s="2"/>
    </row>
    <row r="50" ht="12.75">
      <c r="D50" s="2"/>
    </row>
    <row r="51" ht="12.75">
      <c r="D51" s="2"/>
    </row>
    <row r="52" spans="4:6" ht="24">
      <c r="D52" s="2"/>
      <c r="F52" s="81"/>
    </row>
    <row r="53" spans="4:7" ht="12.75">
      <c r="D53" s="2"/>
      <c r="G53" s="2"/>
    </row>
    <row r="54" spans="4:8" ht="12.75">
      <c r="D54" s="2"/>
      <c r="H54" s="62"/>
    </row>
    <row r="55" spans="4:7" ht="12.75">
      <c r="D55" s="2"/>
      <c r="G55" s="2"/>
    </row>
    <row r="56" ht="12.75"/>
    <row r="57" ht="12.75"/>
    <row r="58" ht="12.75"/>
    <row r="59" ht="12.75"/>
    <row r="60" ht="12.75"/>
    <row r="61" ht="12.75"/>
    <row r="62" ht="12.75"/>
    <row r="68" spans="5:6" ht="18.75">
      <c r="E68" s="6"/>
      <c r="F68" s="40"/>
    </row>
  </sheetData>
  <printOptions/>
  <pageMargins left="0.8" right="0.5" top="1" bottom="1" header="0.5" footer="0.5"/>
  <pageSetup fitToHeight="1" fitToWidth="1" orientation="portrait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showGridLines="0" zoomScale="75" zoomScaleNormal="75" workbookViewId="0" topLeftCell="A9">
      <selection activeCell="C26" sqref="C26"/>
    </sheetView>
  </sheetViews>
  <sheetFormatPr defaultColWidth="9.00390625" defaultRowHeight="12.75"/>
  <cols>
    <col min="1" max="1" width="3.75390625" style="2" customWidth="1"/>
    <col min="2" max="2" width="1.75390625" style="2" customWidth="1"/>
    <col min="3" max="3" width="8.75390625" style="2" customWidth="1"/>
    <col min="4" max="4" width="1.75390625" style="2" customWidth="1"/>
    <col min="5" max="5" width="8.75390625" style="2" customWidth="1"/>
    <col min="6" max="6" width="1.75390625" style="2" customWidth="1"/>
    <col min="7" max="7" width="8.75390625" style="2" customWidth="1"/>
    <col min="8" max="8" width="1.75390625" style="2" customWidth="1"/>
    <col min="9" max="9" width="8.75390625" style="2" customWidth="1"/>
    <col min="10" max="10" width="1.75390625" style="2" customWidth="1"/>
    <col min="11" max="11" width="17.375" style="2" customWidth="1"/>
    <col min="12" max="12" width="1.75390625" style="2" customWidth="1"/>
    <col min="13" max="13" width="13.375" style="2" customWidth="1"/>
    <col min="14" max="14" width="1.75390625" style="2" customWidth="1"/>
    <col min="15" max="15" width="16.75390625" style="2" customWidth="1"/>
    <col min="16" max="16" width="4.25390625" style="2" customWidth="1"/>
    <col min="17" max="17" width="8.75390625" style="2" customWidth="1"/>
    <col min="18" max="18" width="1.75390625" style="2" customWidth="1"/>
    <col min="19" max="19" width="9.625" style="2" customWidth="1"/>
    <col min="20" max="205" width="8.75390625" style="2" customWidth="1"/>
    <col min="206" max="16384" width="10.75390625" style="2" customWidth="1"/>
  </cols>
  <sheetData>
    <row r="1" spans="1:18" ht="12.75">
      <c r="A1" s="105" t="s">
        <v>25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5" t="s">
        <v>80</v>
      </c>
      <c r="N1" s="106"/>
      <c r="O1" s="106"/>
      <c r="P1" s="106"/>
      <c r="Q1" s="106"/>
      <c r="R1" s="106"/>
    </row>
    <row r="2" spans="1:18" ht="12.75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12.75">
      <c r="A3" s="105" t="str">
        <f>'F-1'!A4</f>
        <v>Company:  Utilities, Inc. of Florida (630/635-Golden Hills/Crownwood)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5" t="s">
        <v>26</v>
      </c>
      <c r="R3" s="106"/>
    </row>
    <row r="4" spans="1:18" ht="12.75">
      <c r="A4" s="105" t="str">
        <f>'F-1'!A5</f>
        <v>Docket No.: 060253-WS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5" t="s">
        <v>83</v>
      </c>
      <c r="R4" s="106"/>
    </row>
    <row r="5" spans="1:18" ht="12.75">
      <c r="A5" s="105" t="str">
        <f>'F-1'!A6</f>
        <v>Test Year Ended:  December 31, 2005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5" t="str">
        <f>'F-1'!L5</f>
        <v>Preparer:  Seidman, F.</v>
      </c>
      <c r="R5" s="106"/>
    </row>
    <row r="6" spans="1:18" ht="12.7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</row>
    <row r="7" spans="1:18" ht="12.75">
      <c r="A7" s="105" t="s">
        <v>27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</row>
    <row r="8" spans="1:18" ht="12.75">
      <c r="A8" s="105" t="s">
        <v>28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</row>
    <row r="9" spans="1:18" ht="12.75">
      <c r="A9" s="105" t="s">
        <v>29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</row>
    <row r="10" spans="1:19" ht="12.75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</row>
    <row r="11" spans="3:19" ht="12">
      <c r="C11" s="48" t="s">
        <v>89</v>
      </c>
      <c r="E11" s="48" t="s">
        <v>90</v>
      </c>
      <c r="G11" s="48" t="s">
        <v>91</v>
      </c>
      <c r="H11" s="4"/>
      <c r="I11" s="48" t="s">
        <v>92</v>
      </c>
      <c r="K11" s="48" t="s">
        <v>93</v>
      </c>
      <c r="L11" s="4"/>
      <c r="M11" s="48" t="s">
        <v>94</v>
      </c>
      <c r="N11" s="4"/>
      <c r="O11" s="48" t="s">
        <v>41</v>
      </c>
      <c r="P11" s="4"/>
      <c r="Q11" s="48" t="s">
        <v>42</v>
      </c>
      <c r="R11" s="4"/>
      <c r="S11" s="48" t="s">
        <v>45</v>
      </c>
    </row>
    <row r="12" spans="3:19" ht="12">
      <c r="C12" s="44"/>
      <c r="E12" s="114" t="s">
        <v>34</v>
      </c>
      <c r="F12" s="114"/>
      <c r="G12" s="114"/>
      <c r="H12" s="114"/>
      <c r="I12" s="114"/>
      <c r="K12" s="4" t="s">
        <v>38</v>
      </c>
      <c r="L12" s="4"/>
      <c r="M12" s="4" t="s">
        <v>39</v>
      </c>
      <c r="N12" s="4"/>
      <c r="O12" s="4" t="s">
        <v>107</v>
      </c>
      <c r="P12" s="4"/>
      <c r="Q12" s="4" t="s">
        <v>107</v>
      </c>
      <c r="R12" s="4"/>
      <c r="S12" s="4" t="s">
        <v>46</v>
      </c>
    </row>
    <row r="13" spans="1:19" ht="12">
      <c r="A13" s="2" t="s">
        <v>32</v>
      </c>
      <c r="C13" s="4"/>
      <c r="E13" s="42"/>
      <c r="F13" s="42"/>
      <c r="G13" s="42"/>
      <c r="H13" s="42"/>
      <c r="I13" s="42"/>
      <c r="K13" s="4" t="s">
        <v>99</v>
      </c>
      <c r="L13" s="4"/>
      <c r="M13" s="4" t="s">
        <v>38</v>
      </c>
      <c r="N13" s="4"/>
      <c r="O13" s="4" t="s">
        <v>99</v>
      </c>
      <c r="P13" s="4"/>
      <c r="Q13" s="4" t="s">
        <v>43</v>
      </c>
      <c r="R13" s="4"/>
      <c r="S13" s="4" t="s">
        <v>47</v>
      </c>
    </row>
    <row r="14" spans="1:19" ht="12">
      <c r="A14" s="2" t="s">
        <v>33</v>
      </c>
      <c r="C14" s="4" t="s">
        <v>102</v>
      </c>
      <c r="E14" s="4" t="s">
        <v>35</v>
      </c>
      <c r="F14" s="4"/>
      <c r="G14" s="4" t="s">
        <v>36</v>
      </c>
      <c r="H14" s="4"/>
      <c r="I14" s="4" t="s">
        <v>37</v>
      </c>
      <c r="K14" s="4" t="s">
        <v>104</v>
      </c>
      <c r="L14" s="4"/>
      <c r="M14" s="4" t="s">
        <v>40</v>
      </c>
      <c r="N14" s="4"/>
      <c r="O14" s="4" t="s">
        <v>104</v>
      </c>
      <c r="P14" s="4"/>
      <c r="Q14" s="4" t="s">
        <v>44</v>
      </c>
      <c r="R14" s="4"/>
      <c r="S14" s="4" t="s">
        <v>48</v>
      </c>
    </row>
    <row r="15" spans="1:19" ht="12">
      <c r="A15" s="42"/>
      <c r="C15" s="15"/>
      <c r="E15" s="42"/>
      <c r="G15" s="42"/>
      <c r="I15" s="42"/>
      <c r="K15" s="15"/>
      <c r="L15" s="4"/>
      <c r="M15" s="15"/>
      <c r="N15" s="4"/>
      <c r="O15" s="15"/>
      <c r="P15" s="4"/>
      <c r="Q15" s="15"/>
      <c r="R15" s="4"/>
      <c r="S15" s="15"/>
    </row>
    <row r="16" spans="3:19" ht="12">
      <c r="C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5.75">
      <c r="A17" s="4">
        <v>1</v>
      </c>
      <c r="C17" s="4">
        <v>2001</v>
      </c>
      <c r="E17" s="68">
        <v>414</v>
      </c>
      <c r="F17" s="68"/>
      <c r="G17" s="68">
        <v>432</v>
      </c>
      <c r="H17" s="68"/>
      <c r="I17" s="68">
        <f>+(E17+G17)/2</f>
        <v>423</v>
      </c>
      <c r="J17" s="69"/>
      <c r="K17" s="68">
        <v>40712673</v>
      </c>
      <c r="L17" s="68"/>
      <c r="M17" s="68">
        <f>+K17/I17</f>
        <v>96247.45390070922</v>
      </c>
      <c r="N17" s="68"/>
      <c r="O17" s="68">
        <v>45217393</v>
      </c>
      <c r="P17" s="68"/>
      <c r="Q17" s="68">
        <f>+O17/M17</f>
        <v>469.80352380694825</v>
      </c>
      <c r="R17" s="70"/>
      <c r="S17" s="71"/>
    </row>
    <row r="18" spans="1:19" ht="15.75">
      <c r="A18" s="4"/>
      <c r="C18" s="4"/>
      <c r="E18" s="68"/>
      <c r="F18" s="68"/>
      <c r="G18" s="68"/>
      <c r="H18" s="68"/>
      <c r="I18" s="68"/>
      <c r="J18" s="69"/>
      <c r="K18" s="68"/>
      <c r="L18" s="68"/>
      <c r="M18" s="68"/>
      <c r="N18" s="68"/>
      <c r="O18" s="68"/>
      <c r="P18" s="68"/>
      <c r="Q18" s="68"/>
      <c r="R18" s="70"/>
      <c r="S18" s="71"/>
    </row>
    <row r="19" spans="1:19" ht="16.5">
      <c r="A19" s="4">
        <v>2</v>
      </c>
      <c r="C19" s="4">
        <v>2002</v>
      </c>
      <c r="E19" s="68">
        <f>G17</f>
        <v>432</v>
      </c>
      <c r="F19" s="68"/>
      <c r="G19" s="68">
        <v>458</v>
      </c>
      <c r="H19" s="72"/>
      <c r="I19" s="68">
        <f>+(E19+G19)/2</f>
        <v>445</v>
      </c>
      <c r="J19" s="69"/>
      <c r="K19" s="68">
        <v>40995498</v>
      </c>
      <c r="L19" s="68"/>
      <c r="M19" s="68">
        <f>+K19/I19</f>
        <v>92124.71460674157</v>
      </c>
      <c r="N19" s="68"/>
      <c r="O19" s="68">
        <v>43049778</v>
      </c>
      <c r="P19" s="68"/>
      <c r="Q19" s="68">
        <f>+O19/M19</f>
        <v>467.29890218677184</v>
      </c>
      <c r="R19" s="70"/>
      <c r="S19" s="71">
        <f>+(Q19/Q17)-1</f>
        <v>-0.005331210800380459</v>
      </c>
    </row>
    <row r="20" spans="1:19" ht="15.75">
      <c r="A20" s="4"/>
      <c r="C20" s="4"/>
      <c r="E20" s="68"/>
      <c r="F20" s="68"/>
      <c r="G20" s="68"/>
      <c r="H20" s="68"/>
      <c r="I20" s="68"/>
      <c r="J20" s="69"/>
      <c r="K20" s="68"/>
      <c r="L20" s="68"/>
      <c r="M20" s="68"/>
      <c r="N20" s="68"/>
      <c r="O20" s="68"/>
      <c r="P20" s="68"/>
      <c r="Q20" s="68"/>
      <c r="R20" s="70"/>
      <c r="S20" s="71"/>
    </row>
    <row r="21" spans="1:19" ht="15.75">
      <c r="A21" s="4">
        <v>3</v>
      </c>
      <c r="C21" s="4">
        <v>2003</v>
      </c>
      <c r="E21" s="68">
        <f>G19</f>
        <v>458</v>
      </c>
      <c r="F21" s="68"/>
      <c r="G21" s="68">
        <v>444</v>
      </c>
      <c r="H21" s="68"/>
      <c r="I21" s="68">
        <f>+(E21+G21)/2</f>
        <v>451</v>
      </c>
      <c r="J21" s="69"/>
      <c r="K21" s="68">
        <v>40789255</v>
      </c>
      <c r="L21" s="68"/>
      <c r="M21" s="68">
        <f>+K21/I21</f>
        <v>90441.80709534368</v>
      </c>
      <c r="N21" s="68"/>
      <c r="O21" s="68">
        <v>42258275</v>
      </c>
      <c r="P21" s="68"/>
      <c r="Q21" s="68">
        <f>+O21/M21</f>
        <v>467.2427095076877</v>
      </c>
      <c r="R21" s="70"/>
      <c r="S21" s="71">
        <f>+(Q21/Q19)-1</f>
        <v>-0.00012024997024639994</v>
      </c>
    </row>
    <row r="22" spans="1:19" ht="15.75">
      <c r="A22" s="4"/>
      <c r="C22" s="4"/>
      <c r="E22" s="68"/>
      <c r="F22" s="68"/>
      <c r="G22" s="68"/>
      <c r="H22" s="68"/>
      <c r="I22" s="68"/>
      <c r="J22" s="69"/>
      <c r="K22" s="68"/>
      <c r="L22" s="68"/>
      <c r="M22" s="68"/>
      <c r="N22" s="68"/>
      <c r="O22" s="68"/>
      <c r="P22" s="68"/>
      <c r="Q22" s="68"/>
      <c r="R22" s="70"/>
      <c r="S22" s="71"/>
    </row>
    <row r="23" spans="1:19" ht="15.75">
      <c r="A23" s="4">
        <v>4</v>
      </c>
      <c r="C23" s="4">
        <v>2004</v>
      </c>
      <c r="E23" s="68">
        <f>G21</f>
        <v>444</v>
      </c>
      <c r="F23" s="68"/>
      <c r="G23" s="68">
        <v>463</v>
      </c>
      <c r="H23" s="68"/>
      <c r="I23" s="68">
        <f>+(E23+G23)/2</f>
        <v>453.5</v>
      </c>
      <c r="J23" s="69"/>
      <c r="K23" s="68">
        <v>45762590</v>
      </c>
      <c r="L23" s="68"/>
      <c r="M23" s="68">
        <f>+K23/I23</f>
        <v>100909.79051819185</v>
      </c>
      <c r="N23" s="68"/>
      <c r="O23" s="68">
        <v>50514446</v>
      </c>
      <c r="P23" s="68"/>
      <c r="Q23" s="68">
        <f>+O23/M23</f>
        <v>500.5901383859611</v>
      </c>
      <c r="R23" s="70"/>
      <c r="S23" s="71">
        <f>+(Q23/Q21)-1</f>
        <v>0.07137067780770745</v>
      </c>
    </row>
    <row r="24" spans="1:19" ht="15.75">
      <c r="A24" s="4"/>
      <c r="C24" s="4"/>
      <c r="E24" s="68"/>
      <c r="F24" s="68"/>
      <c r="G24" s="68"/>
      <c r="H24" s="68"/>
      <c r="I24" s="68"/>
      <c r="J24" s="69"/>
      <c r="K24" s="68"/>
      <c r="L24" s="68"/>
      <c r="M24" s="68"/>
      <c r="N24" s="68"/>
      <c r="O24" s="68"/>
      <c r="P24" s="68"/>
      <c r="Q24" s="68"/>
      <c r="R24" s="70"/>
      <c r="S24" s="71"/>
    </row>
    <row r="25" spans="1:19" ht="15.75">
      <c r="A25" s="4">
        <v>5</v>
      </c>
      <c r="C25" s="4">
        <v>2005</v>
      </c>
      <c r="E25" s="68">
        <f>G23</f>
        <v>463</v>
      </c>
      <c r="F25" s="68"/>
      <c r="G25" s="68">
        <v>456</v>
      </c>
      <c r="H25" s="68"/>
      <c r="I25" s="68">
        <f>+(E25+G25)/2</f>
        <v>459.5</v>
      </c>
      <c r="J25" s="69"/>
      <c r="K25" s="68">
        <v>40597000</v>
      </c>
      <c r="L25" s="68"/>
      <c r="M25" s="68">
        <f>+K25/I25</f>
        <v>88350.38084874864</v>
      </c>
      <c r="N25" s="68"/>
      <c r="O25" s="68">
        <v>44688000</v>
      </c>
      <c r="P25" s="68"/>
      <c r="Q25" s="68">
        <f>+O25/M25</f>
        <v>505.8042712515703</v>
      </c>
      <c r="R25" s="70"/>
      <c r="S25" s="71">
        <f>+(Q25/Q23)-1</f>
        <v>0.010415972001408091</v>
      </c>
    </row>
    <row r="26" spans="1:19" ht="16.5" thickBot="1">
      <c r="A26" s="4"/>
      <c r="E26" s="73"/>
      <c r="F26" s="73"/>
      <c r="G26" s="73"/>
      <c r="H26" s="73"/>
      <c r="I26" s="73"/>
      <c r="J26" s="73"/>
      <c r="K26" s="70"/>
      <c r="L26" s="70"/>
      <c r="M26" s="70"/>
      <c r="N26" s="70"/>
      <c r="O26" s="74" t="s">
        <v>49</v>
      </c>
      <c r="P26" s="70"/>
      <c r="Q26" s="70"/>
      <c r="R26" s="70"/>
      <c r="S26" s="75">
        <f>AVERAGE(S19:S25)</f>
        <v>0.01908379725962217</v>
      </c>
    </row>
    <row r="27" spans="5:19" ht="16.5" thickTop="1"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</row>
    <row r="28" spans="5:19" ht="15.75">
      <c r="E28" s="73"/>
      <c r="F28" s="73"/>
      <c r="G28" s="73"/>
      <c r="H28" s="73" t="s">
        <v>212</v>
      </c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6"/>
    </row>
    <row r="29" spans="3:19" ht="15.75">
      <c r="C29" s="38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7" t="s">
        <v>213</v>
      </c>
      <c r="Q29" s="78" t="s">
        <v>214</v>
      </c>
      <c r="R29" s="73"/>
      <c r="S29" s="73"/>
    </row>
    <row r="30" spans="3:19" ht="15.75">
      <c r="C30" s="38"/>
      <c r="E30" s="73"/>
      <c r="F30" s="73"/>
      <c r="G30" s="73"/>
      <c r="H30" s="73"/>
      <c r="I30" s="73"/>
      <c r="J30" s="73" t="s">
        <v>215</v>
      </c>
      <c r="K30" s="73"/>
      <c r="L30" s="73"/>
      <c r="M30" s="73">
        <f>INTERCEPT(Q30:Q34,P30:P34)</f>
        <v>450.56008970125833</v>
      </c>
      <c r="N30" s="73"/>
      <c r="O30" s="70"/>
      <c r="P30" s="73">
        <v>1</v>
      </c>
      <c r="Q30" s="68">
        <f>+Q17</f>
        <v>469.80352380694825</v>
      </c>
      <c r="R30" s="73"/>
      <c r="S30" s="73"/>
    </row>
    <row r="31" spans="3:19" ht="15.75">
      <c r="C31" s="38"/>
      <c r="E31" s="73"/>
      <c r="F31" s="73"/>
      <c r="G31" s="73"/>
      <c r="H31" s="73"/>
      <c r="I31" s="73"/>
      <c r="J31" s="73" t="s">
        <v>216</v>
      </c>
      <c r="K31" s="73"/>
      <c r="L31" s="73"/>
      <c r="M31" s="73">
        <f>SLOPE(Q30:Q34,P30:P34)</f>
        <v>10.52927310884319</v>
      </c>
      <c r="N31" s="73"/>
      <c r="O31" s="73"/>
      <c r="P31" s="73">
        <v>2</v>
      </c>
      <c r="Q31" s="68">
        <f>+Q19</f>
        <v>467.29890218677184</v>
      </c>
      <c r="R31" s="73"/>
      <c r="S31" s="73"/>
    </row>
    <row r="32" spans="5:19" ht="15.75">
      <c r="E32" s="73"/>
      <c r="F32" s="73"/>
      <c r="G32" s="73"/>
      <c r="H32" s="73"/>
      <c r="I32" s="73"/>
      <c r="J32" s="73" t="s">
        <v>217</v>
      </c>
      <c r="K32" s="73"/>
      <c r="L32" s="73"/>
      <c r="M32" s="73">
        <f>RSQ(Q30:Q34,P30:P34)</f>
        <v>0.741684455752625</v>
      </c>
      <c r="N32" s="73"/>
      <c r="O32" s="73"/>
      <c r="P32" s="73">
        <v>3</v>
      </c>
      <c r="Q32" s="68">
        <f>+Q21</f>
        <v>467.2427095076877</v>
      </c>
      <c r="R32" s="73"/>
      <c r="S32" s="73"/>
    </row>
    <row r="33" spans="1:19" ht="15.75">
      <c r="A33" s="1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>
        <v>4</v>
      </c>
      <c r="Q33" s="68">
        <f>+Q23</f>
        <v>500.5901383859611</v>
      </c>
      <c r="R33" s="73"/>
      <c r="S33" s="73"/>
    </row>
    <row r="34" spans="1:19" ht="15.75">
      <c r="A34" s="1"/>
      <c r="E34" s="73"/>
      <c r="F34" s="73"/>
      <c r="G34" s="73"/>
      <c r="H34" s="73"/>
      <c r="I34" s="73"/>
      <c r="J34" s="73"/>
      <c r="K34" s="73"/>
      <c r="L34" s="73"/>
      <c r="M34" s="79"/>
      <c r="N34" s="73"/>
      <c r="O34" s="73"/>
      <c r="P34" s="73">
        <v>5</v>
      </c>
      <c r="Q34" s="68">
        <f>+Q25</f>
        <v>505.8042712515703</v>
      </c>
      <c r="R34" s="73"/>
      <c r="S34" s="73"/>
    </row>
    <row r="35" spans="1:19" ht="15.75">
      <c r="A35" s="1"/>
      <c r="E35" s="73"/>
      <c r="F35" s="73"/>
      <c r="G35" s="73"/>
      <c r="H35" s="73"/>
      <c r="I35" s="73"/>
      <c r="J35" s="73"/>
      <c r="K35" s="73"/>
      <c r="L35" s="73"/>
      <c r="M35" s="79"/>
      <c r="N35" s="73"/>
      <c r="O35" s="73"/>
      <c r="P35" s="73">
        <v>10</v>
      </c>
      <c r="Q35" s="68">
        <f>M30+M31*P35</f>
        <v>555.8528207896902</v>
      </c>
      <c r="R35" s="73"/>
      <c r="S35" s="73"/>
    </row>
    <row r="36" spans="1:19" ht="15.75">
      <c r="A36" s="1"/>
      <c r="E36" s="73"/>
      <c r="F36" s="73"/>
      <c r="G36" s="73"/>
      <c r="H36" s="73"/>
      <c r="I36" s="73"/>
      <c r="J36" s="73"/>
      <c r="K36" s="73"/>
      <c r="L36" s="73"/>
      <c r="M36" s="79"/>
      <c r="N36" s="73"/>
      <c r="O36" s="73"/>
      <c r="P36" s="73"/>
      <c r="Q36" s="68"/>
      <c r="R36" s="73"/>
      <c r="S36" s="73"/>
    </row>
    <row r="37" spans="1:19" ht="15.75">
      <c r="A37" s="1"/>
      <c r="E37" s="73"/>
      <c r="F37" s="73"/>
      <c r="G37" s="73"/>
      <c r="H37" s="73"/>
      <c r="I37" s="73"/>
      <c r="J37" s="73"/>
      <c r="K37" s="73" t="s">
        <v>246</v>
      </c>
      <c r="L37" s="73"/>
      <c r="M37" s="79"/>
      <c r="N37" s="73"/>
      <c r="O37" s="73"/>
      <c r="P37" s="73"/>
      <c r="Q37" s="80">
        <f>Q35-Q34</f>
        <v>50.048549538119914</v>
      </c>
      <c r="R37" s="73"/>
      <c r="S37" s="73"/>
    </row>
    <row r="38" spans="1:19" ht="15.75">
      <c r="A38" s="1"/>
      <c r="E38" s="73"/>
      <c r="F38" s="73"/>
      <c r="G38" s="73"/>
      <c r="H38" s="73"/>
      <c r="I38" s="73"/>
      <c r="J38" s="73"/>
      <c r="K38" s="73" t="s">
        <v>247</v>
      </c>
      <c r="L38" s="73"/>
      <c r="M38" s="79"/>
      <c r="N38" s="73"/>
      <c r="O38" s="73"/>
      <c r="P38" s="73"/>
      <c r="Q38" s="80">
        <f>Q37/5</f>
        <v>10.009709907623982</v>
      </c>
      <c r="R38" s="73"/>
      <c r="S38" s="73"/>
    </row>
    <row r="39" spans="1:19" ht="15.75">
      <c r="A39" s="1"/>
      <c r="E39" s="73"/>
      <c r="F39" s="73"/>
      <c r="G39" s="73"/>
      <c r="H39" s="73"/>
      <c r="I39" s="73"/>
      <c r="J39" s="73"/>
      <c r="K39" s="73"/>
      <c r="L39" s="73"/>
      <c r="M39" s="79"/>
      <c r="N39" s="73"/>
      <c r="O39" s="73"/>
      <c r="P39" s="73"/>
      <c r="Q39" s="80"/>
      <c r="R39" s="73"/>
      <c r="S39" s="73"/>
    </row>
    <row r="40" spans="1:17" ht="12">
      <c r="A40" s="1"/>
      <c r="M40" s="1"/>
      <c r="Q40" s="66"/>
    </row>
    <row r="41" spans="1:13" ht="15">
      <c r="A41" s="1"/>
      <c r="C41" s="83"/>
      <c r="M41" s="1"/>
    </row>
    <row r="42" spans="1:13" ht="15">
      <c r="A42" s="1"/>
      <c r="C42" s="83"/>
      <c r="M42" s="1"/>
    </row>
    <row r="43" spans="1:13" ht="15">
      <c r="A43" s="1"/>
      <c r="C43" s="83"/>
      <c r="M43" s="1"/>
    </row>
    <row r="44" spans="1:13" ht="15">
      <c r="A44" s="1"/>
      <c r="C44" s="83"/>
      <c r="M44" s="1"/>
    </row>
    <row r="45" spans="1:13" ht="15">
      <c r="A45" s="1"/>
      <c r="C45" s="83"/>
      <c r="M45" s="1"/>
    </row>
    <row r="46" spans="1:13" ht="15">
      <c r="A46" s="1"/>
      <c r="C46" s="83"/>
      <c r="M46" s="1"/>
    </row>
    <row r="47" spans="1:13" ht="12">
      <c r="A47" s="1"/>
      <c r="M47" s="1"/>
    </row>
    <row r="48" spans="1:13" ht="12">
      <c r="A48" s="1"/>
      <c r="M48" s="1"/>
    </row>
    <row r="49" spans="1:13" ht="12">
      <c r="A49" s="1"/>
      <c r="M49" s="1"/>
    </row>
    <row r="50" spans="1:13" ht="12">
      <c r="A50" s="1"/>
      <c r="M50" s="1"/>
    </row>
    <row r="51" spans="1:13" ht="12">
      <c r="A51" s="1"/>
      <c r="M51" s="1"/>
    </row>
    <row r="52" spans="1:13" ht="12">
      <c r="A52" s="1"/>
      <c r="M52" s="1"/>
    </row>
    <row r="53" spans="1:13" ht="24">
      <c r="A53" s="1"/>
      <c r="K53" s="81"/>
      <c r="M53" s="1"/>
    </row>
    <row r="54" spans="1:13" ht="12">
      <c r="A54" s="1"/>
      <c r="M54" s="1"/>
    </row>
    <row r="55" spans="1:13" ht="12">
      <c r="A55" s="1"/>
      <c r="M55" s="1"/>
    </row>
    <row r="56" spans="1:13" ht="12">
      <c r="A56" s="1"/>
      <c r="M56" s="1"/>
    </row>
    <row r="57" spans="1:13" ht="12">
      <c r="A57" s="1"/>
      <c r="M57" s="1"/>
    </row>
    <row r="58" spans="1:13" ht="12">
      <c r="A58" s="1"/>
      <c r="M58" s="1"/>
    </row>
    <row r="59" spans="1:13" ht="12">
      <c r="A59" s="1"/>
      <c r="M59" s="1"/>
    </row>
    <row r="60" spans="1:13" ht="12">
      <c r="A60" s="1"/>
      <c r="M60" s="1"/>
    </row>
    <row r="61" spans="1:13" ht="12">
      <c r="A61" s="1"/>
      <c r="M61" s="1"/>
    </row>
    <row r="62" spans="1:13" ht="12">
      <c r="A62" s="1"/>
      <c r="M62" s="1"/>
    </row>
    <row r="63" spans="1:12" ht="18.75">
      <c r="A63" s="1"/>
      <c r="K63" s="8"/>
      <c r="L63" s="43"/>
    </row>
    <row r="64" spans="1:13" ht="12">
      <c r="A64" s="1"/>
      <c r="M64" s="1"/>
    </row>
    <row r="65" spans="1:13" ht="12">
      <c r="A65" s="1"/>
      <c r="M65" s="1"/>
    </row>
  </sheetData>
  <mergeCells count="1">
    <mergeCell ref="E12:I12"/>
  </mergeCells>
  <printOptions/>
  <pageMargins left="0.75" right="0.5" top="1" bottom="1" header="0.5" footer="0.5"/>
  <pageSetup fitToHeight="1" fitToWidth="1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2006-09-11T03:10:06Z</cp:lastPrinted>
  <dcterms:created xsi:type="dcterms:W3CDTF">2002-03-03T13:35:36Z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