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'F-5'!$A$1:$K$69</definedName>
    <definedName name="F_6">'F-6'!$A$1:$I$49</definedName>
    <definedName name="F_7">'F-7'!$A$1:$J$48</definedName>
    <definedName name="F_8">'F-8'!$A$1:$L$49</definedName>
    <definedName name="F_9">'F-9'!$A$1:$S$49</definedName>
    <definedName name="Gallons_of_Water_Pumped__Sold_and_Unaccounted_For">'F-1'!$A$1:$M$38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'F-5'!$A$53:$L$64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'F-5'!$A$1:$K$64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'F-5'!$A$65:$K$106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'F-5'!$A$65:$K$106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'F-5'!$A$1:$K$69</definedName>
    <definedName name="_xlnm.Print_Area" localSheetId="5">'F-6'!$A$1:$I$49</definedName>
    <definedName name="_xlnm.Print_Area" localSheetId="6">'F-7'!$A$1:$J$48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'F-5'!$A$32:$L$50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'F-5'!$A$15:$L$30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'F-5'!$A$1:$L$13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comments5.xml><?xml version="1.0" encoding="utf-8"?>
<comments xmlns="http://schemas.openxmlformats.org/spreadsheetml/2006/main">
  <authors>
    <author>Frank Seidman</author>
  </authors>
  <commentList>
    <comment ref="C57" authorId="0">
      <text>
        <r>
          <rPr>
            <b/>
            <sz val="8"/>
            <rFont val="Tahoma"/>
            <family val="0"/>
          </rPr>
          <t>Frank Seidman: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<sst xmlns="http://schemas.openxmlformats.org/spreadsheetml/2006/main" count="429" uniqueCount="219">
  <si>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</si>
  <si>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</si>
  <si>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</si>
  <si>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</si>
  <si>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</si>
  <si>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</si>
  <si>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</si>
  <si>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</si>
  <si>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</si>
  <si>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</si>
  <si>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</si>
  <si>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</si>
  <si>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</si>
  <si>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</si>
  <si>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</si>
  <si>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</si>
  <si>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</si>
  <si>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</si>
  <si>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</si>
  <si>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</si>
  <si>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</si>
  <si>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(604-Oakland Shores)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</si>
  <si>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</si>
  <si>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</si>
  <si>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</si>
  <si>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</si>
  <si>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</si>
  <si>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</si>
  <si>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</si>
  <si>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</si>
  <si>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</si>
  <si>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</si>
  <si>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</si>
  <si>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</si>
  <si>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</si>
  <si>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</si>
  <si>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</si>
  <si>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</si>
  <si>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</si>
  <si>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</si>
  <si>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</si>
  <si>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</si>
  <si>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</si>
  <si>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</si>
  <si>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</si>
  <si>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</si>
  <si>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</si>
  <si>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</si>
  <si>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</si>
  <si>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</si>
  <si>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</si>
  <si>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</si>
  <si>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</si>
  <si>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</si>
  <si>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</si>
  <si>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</si>
  <si>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</si>
  <si>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</si>
  <si>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</si>
  <si>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</si>
  <si>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</si>
  <si>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</si>
  <si>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</si>
  <si>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</si>
  <si>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</si>
  <si>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</si>
  <si>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</si>
  <si>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</si>
  <si>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</si>
  <si>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</si>
  <si>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</si>
  <si>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</si>
  <si>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</si>
  <si>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</si>
  <si>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</si>
  <si>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</si>
  <si>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</si>
  <si>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</si>
  <si>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</si>
  <si>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</si>
  <si>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</si>
  <si>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</si>
  <si>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</si>
  <si>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</si>
  <si>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</si>
  <si>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</si>
  <si>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</si>
  <si>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</si>
  <si>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</si>
  <si>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</si>
  <si>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</si>
  <si>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</si>
  <si>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</si>
  <si>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</si>
  <si>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</si>
  <si>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</si>
  <si>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</si>
  <si>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</si>
  <si>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</si>
  <si>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</si>
  <si>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</si>
  <si>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</si>
  <si>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</si>
  <si>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</si>
  <si>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</si>
  <si>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</si>
  <si>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</si>
  <si>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</si>
  <si>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</si>
  <si>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</si>
  <si>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</si>
  <si>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</si>
  <si>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</si>
  <si>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</si>
  <si>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</si>
  <si>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</si>
  <si>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</si>
  <si>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</si>
  <si>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</si>
  <si>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</si>
  <si>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</si>
  <si>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</si>
  <si>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</si>
  <si>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</si>
  <si>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</si>
  <si>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</si>
  <si>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</si>
  <si>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</si>
  <si>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</si>
  <si>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</si>
  <si>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</si>
  <si>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</si>
  <si>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INPUT INFORMATION:</t>
  </si>
  <si>
    <t>Total well pumping capacity, gpm</t>
  </si>
  <si>
    <t>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</si>
  <si>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</si>
  <si>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</si>
  <si>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</si>
  <si>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</si>
  <si>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</si>
  <si>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High service pumping capacity, gpm</t>
  </si>
  <si>
    <t xml:space="preserve">Maximum day, maximum month demand, </t>
  </si>
  <si>
    <t>gpd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</si>
  <si>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</si>
  <si>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</si>
  <si>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</si>
  <si>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</si>
  <si>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</si>
  <si>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</si>
  <si>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</si>
  <si>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</si>
  <si>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</si>
  <si>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</si>
  <si>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</si>
  <si>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</si>
  <si>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</si>
  <si>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</si>
  <si>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</si>
  <si>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</si>
  <si>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</si>
  <si>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Not Applicable - Water only system</t>
  </si>
  <si>
    <t>(Primarily residential)</t>
  </si>
  <si>
    <t>TY-1</t>
  </si>
  <si>
    <t>Not applicable - water only system.</t>
  </si>
  <si>
    <t xml:space="preserve">Docket No.:  </t>
  </si>
  <si>
    <t>(Above data in millions of gallons)</t>
  </si>
  <si>
    <t>Not Applicable - water only system</t>
  </si>
  <si>
    <t>Not Applicable - water system only</t>
  </si>
  <si>
    <t>Average day demand, maximum month</t>
  </si>
  <si>
    <t>Max Month</t>
  </si>
  <si>
    <t>Firm Reliable Capacity of high service pumping</t>
  </si>
  <si>
    <t>The above used and useful factor is applicable to all source of supply, pumping and treatment accounts,</t>
  </si>
  <si>
    <t>as well as the land, structures and distribution reservoir accounts.</t>
  </si>
  <si>
    <t>or other unusual occurrences affected the flow this day.</t>
  </si>
  <si>
    <t>year.  The gallons pumped should match the flows shown on the monthly operating reports sent to DEP. The other</t>
  </si>
  <si>
    <t xml:space="preserve">historical test year.  Flow data should match the the monthly operating reports sent to DEP. </t>
  </si>
  <si>
    <t xml:space="preserve">ating reports (MORs) sent to the Department of Environmental Protection.  </t>
  </si>
  <si>
    <t>on the DEP operating or construction permit, provide an explanation.</t>
  </si>
  <si>
    <t xml:space="preserve">Explain, on a separate sheet of paper if fire flow, line breaks, </t>
  </si>
  <si>
    <t>breaks or other unusual occurrences affected the flows on</t>
  </si>
  <si>
    <t>from the monthly operating reports (MORs) sent to the Department of Environmental Protection.</t>
  </si>
  <si>
    <t>Used &amp; Useful Analysis:</t>
  </si>
  <si>
    <t>to be 100% used &amp; useful, as it had in past cases. There have been no significant changes in the system.</t>
  </si>
  <si>
    <t>The service area is built out.</t>
  </si>
  <si>
    <t>This system treats water by forced draft aeration and chlorination. The ground storage, hydropneumatic storage</t>
  </si>
  <si>
    <t>Firm Reliable well pumping capacity (largest well out), gpm (* see U&amp;U analysis)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</si>
  <si>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</si>
  <si>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</si>
  <si>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</si>
  <si>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Preparer:  Seidman, F.</t>
  </si>
  <si>
    <t>*</t>
  </si>
  <si>
    <t xml:space="preserve">[* Per DEP, limited by wells &amp; ground storage capacity]   </t>
  </si>
  <si>
    <t>Regression Analysis per Rule 25-30.431(2)(C)</t>
  </si>
  <si>
    <t>X</t>
  </si>
  <si>
    <t>Y</t>
  </si>
  <si>
    <t>Constant:</t>
  </si>
  <si>
    <t>X Coefficient:</t>
  </si>
  <si>
    <t>R^2:</t>
  </si>
  <si>
    <t>* Land Development Code of Seminole County</t>
  </si>
  <si>
    <t xml:space="preserve">  Single family &amp; duplexes - 600 gpm minimum</t>
  </si>
  <si>
    <t xml:space="preserve">  All others - 1,250 gpm minimum</t>
  </si>
  <si>
    <t>* 600 gpm for 2 hours</t>
  </si>
  <si>
    <t>600 gpm for 2 hours</t>
  </si>
  <si>
    <t>Page 1 of 2</t>
  </si>
  <si>
    <t>Test Year Ended:  December 31, 2005</t>
  </si>
  <si>
    <t>and high service pumping are minimal and are all an integral part of the system. For this system,  all components</t>
  </si>
  <si>
    <t xml:space="preserve">are, therfore, considered together for purposes of determining used and useful. The system has only one well, but has </t>
  </si>
  <si>
    <t xml:space="preserve">an automatically activated interconnection with the City of Altamonte Springs for fire flow and back up. Nevertheless, the </t>
  </si>
  <si>
    <t>system is limited by high service pumping capacity.  Used and useful is therefore determined by the system's ability to</t>
  </si>
  <si>
    <t>Not Applicable - system built out. See Docket No. 020071-WS</t>
  </si>
  <si>
    <t>060253-WS</t>
  </si>
  <si>
    <t>NOTE: The reason that purchased water volume is less than metered sales is speculative.</t>
  </si>
  <si>
    <t xml:space="preserve">There is an automatically activated interconnect meter that belongs to, and is read by, </t>
  </si>
  <si>
    <t>the City of Altamonte Springs. There may have been periods when there were flows from</t>
  </si>
  <si>
    <t>Used &amp; useful was last set for this system in Docket No. 020071-WS. The Commission found the system</t>
  </si>
  <si>
    <t>Used &amp; useful was last set for this system in Docket No.020071-WS. The Commission found the distribution</t>
  </si>
  <si>
    <t>the meter.</t>
  </si>
  <si>
    <t xml:space="preserve">the City to the system (e.g., June, September and December) that were not picked up by </t>
  </si>
  <si>
    <t>meet the gallons per minute max day plus fireflow requirements. The system is built out and is 100% used &amp; useful.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</si>
</sst>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0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fill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14" fillId="0" borderId="0" xfId="0" applyNumberFormat="1" applyFont="1" applyAlignment="1">
      <alignment/>
    </xf>
    <xf numFmtId="164" fontId="14" fillId="0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 wrapText="1"/>
    </xf>
    <xf numFmtId="0" fontId="17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24">
      <selection activeCell="A24" sqref="A24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88" t="s">
        <v>80</v>
      </c>
      <c r="B1" s="89"/>
      <c r="C1" s="89"/>
      <c r="D1" s="89"/>
      <c r="E1" s="89"/>
      <c r="F1" s="89"/>
      <c r="G1" s="89"/>
      <c r="H1" s="89"/>
      <c r="I1" s="89"/>
      <c r="J1" s="88" t="s">
        <v>81</v>
      </c>
    </row>
    <row r="2" spans="1:10" ht="12.75">
      <c r="A2" s="88" t="s">
        <v>82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8" t="s">
        <v>83</v>
      </c>
    </row>
    <row r="4" spans="1:10" ht="12.75">
      <c r="A4" s="88" t="s">
        <v>21</v>
      </c>
      <c r="B4" s="89"/>
      <c r="C4" s="89"/>
      <c r="D4" s="89"/>
      <c r="E4" s="89"/>
      <c r="F4" s="89"/>
      <c r="G4" s="89"/>
      <c r="H4" s="89"/>
      <c r="I4" s="89"/>
      <c r="J4" s="88" t="s">
        <v>84</v>
      </c>
    </row>
    <row r="5" spans="1:10" ht="12.75">
      <c r="A5" s="88" t="s">
        <v>164</v>
      </c>
      <c r="B5" s="89"/>
      <c r="C5" s="89" t="s">
        <v>210</v>
      </c>
      <c r="D5" s="89"/>
      <c r="E5" s="89"/>
      <c r="F5" s="89"/>
      <c r="G5" s="89"/>
      <c r="H5" s="89"/>
      <c r="I5" s="89"/>
      <c r="J5" s="88" t="s">
        <v>189</v>
      </c>
    </row>
    <row r="6" spans="1:10" ht="12.75">
      <c r="A6" s="88" t="s">
        <v>204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2.7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8" t="s">
        <v>85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2.75">
      <c r="A9" s="88" t="s">
        <v>174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2.75">
      <c r="A10" s="88" t="s">
        <v>86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2.75">
      <c r="A11" s="88" t="s">
        <v>87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2" ht="12.75">
      <c r="A12" s="88" t="s">
        <v>88</v>
      </c>
      <c r="B12" s="89"/>
      <c r="C12" s="89"/>
      <c r="D12" s="89"/>
      <c r="E12" s="89"/>
      <c r="F12" s="89"/>
      <c r="G12" s="89"/>
      <c r="H12" s="89"/>
      <c r="I12" s="89"/>
      <c r="J12" s="89"/>
      <c r="L12" s="3"/>
    </row>
    <row r="13" spans="1:13" ht="12">
      <c r="A13" s="4" t="s">
        <v>89</v>
      </c>
      <c r="B13" s="4" t="s">
        <v>89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J13" s="4" t="s">
        <v>89</v>
      </c>
      <c r="K13" s="4" t="s">
        <v>89</v>
      </c>
      <c r="L13" s="4" t="s">
        <v>89</v>
      </c>
      <c r="M13" s="4" t="s">
        <v>89</v>
      </c>
    </row>
    <row r="14" spans="3:13" ht="12">
      <c r="C14" s="5" t="s">
        <v>90</v>
      </c>
      <c r="E14" s="5" t="s">
        <v>91</v>
      </c>
      <c r="G14" s="5" t="s">
        <v>92</v>
      </c>
      <c r="I14" s="5" t="s">
        <v>93</v>
      </c>
      <c r="K14" s="5" t="s">
        <v>94</v>
      </c>
      <c r="M14" s="5" t="s">
        <v>95</v>
      </c>
    </row>
    <row r="15" spans="11:13" ht="12">
      <c r="K15" s="5" t="s">
        <v>96</v>
      </c>
      <c r="M15" s="5" t="s">
        <v>97</v>
      </c>
    </row>
    <row r="16" spans="1:13" ht="12">
      <c r="A16" s="5" t="s">
        <v>98</v>
      </c>
      <c r="C16" s="5" t="s">
        <v>99</v>
      </c>
      <c r="E16" s="5" t="s">
        <v>100</v>
      </c>
      <c r="G16" s="5" t="s">
        <v>100</v>
      </c>
      <c r="I16" s="5" t="s">
        <v>101</v>
      </c>
      <c r="K16" s="5" t="s">
        <v>102</v>
      </c>
      <c r="M16" s="5" t="s">
        <v>96</v>
      </c>
    </row>
    <row r="17" spans="1:13" ht="12">
      <c r="A17" s="5" t="s">
        <v>103</v>
      </c>
      <c r="C17" s="5" t="s">
        <v>104</v>
      </c>
      <c r="E17" s="5" t="s">
        <v>105</v>
      </c>
      <c r="G17" s="5" t="s">
        <v>106</v>
      </c>
      <c r="I17" s="5" t="s">
        <v>107</v>
      </c>
      <c r="K17" s="5" t="s">
        <v>108</v>
      </c>
      <c r="M17" s="5" t="s">
        <v>102</v>
      </c>
    </row>
    <row r="18" spans="1:13" ht="12">
      <c r="A18" s="4" t="s">
        <v>89</v>
      </c>
      <c r="C18" s="4" t="s">
        <v>89</v>
      </c>
      <c r="E18" s="4" t="s">
        <v>89</v>
      </c>
      <c r="G18" s="4" t="s">
        <v>89</v>
      </c>
      <c r="I18" s="4" t="s">
        <v>89</v>
      </c>
      <c r="K18" s="4" t="s">
        <v>89</v>
      </c>
      <c r="M18" s="4" t="s">
        <v>89</v>
      </c>
    </row>
    <row r="19" spans="1:13" ht="12">
      <c r="A19" s="12">
        <v>38353</v>
      </c>
      <c r="C19" s="2">
        <v>2.299</v>
      </c>
      <c r="E19" s="2">
        <v>0</v>
      </c>
      <c r="G19" s="13">
        <v>2.355</v>
      </c>
      <c r="I19" s="13">
        <v>0.003</v>
      </c>
      <c r="K19" s="13">
        <f aca="true" t="shared" si="0" ref="K19:K30">C19+E19-G19-I19</f>
        <v>-0.05900000000000005</v>
      </c>
      <c r="L19" s="6"/>
      <c r="M19" s="14">
        <f aca="true" t="shared" si="1" ref="M19:M30">K19/C19</f>
        <v>-0.0256633318834276</v>
      </c>
    </row>
    <row r="20" spans="1:13" ht="12">
      <c r="A20" s="12">
        <v>38384</v>
      </c>
      <c r="C20" s="2">
        <v>2.228</v>
      </c>
      <c r="E20" s="2">
        <v>0</v>
      </c>
      <c r="G20" s="13">
        <v>2.281</v>
      </c>
      <c r="I20" s="13">
        <v>0.003</v>
      </c>
      <c r="K20" s="13">
        <f t="shared" si="0"/>
        <v>-0.05599999999999994</v>
      </c>
      <c r="L20" s="6"/>
      <c r="M20" s="14">
        <f t="shared" si="1"/>
        <v>-0.025134649910233363</v>
      </c>
    </row>
    <row r="21" spans="1:13" ht="12">
      <c r="A21" s="12">
        <v>38412</v>
      </c>
      <c r="C21" s="2">
        <v>2.353</v>
      </c>
      <c r="E21" s="2">
        <v>0</v>
      </c>
      <c r="G21" s="13">
        <v>2.34</v>
      </c>
      <c r="I21" s="13">
        <v>0.007</v>
      </c>
      <c r="K21" s="13">
        <f t="shared" si="0"/>
        <v>0.0060000000000003445</v>
      </c>
      <c r="L21" s="6"/>
      <c r="M21" s="14">
        <f t="shared" si="1"/>
        <v>0.0025499362515938565</v>
      </c>
    </row>
    <row r="22" spans="1:13" ht="12">
      <c r="A22" s="12">
        <v>38443</v>
      </c>
      <c r="C22" s="2">
        <v>2.525</v>
      </c>
      <c r="E22" s="2">
        <v>0</v>
      </c>
      <c r="G22" s="13">
        <v>2.318</v>
      </c>
      <c r="I22" s="13">
        <v>0.005</v>
      </c>
      <c r="K22" s="13">
        <f t="shared" si="0"/>
        <v>0.20199999999999985</v>
      </c>
      <c r="L22" s="6"/>
      <c r="M22" s="14">
        <f t="shared" si="1"/>
        <v>0.07999999999999995</v>
      </c>
    </row>
    <row r="23" spans="1:13" ht="12">
      <c r="A23" s="12">
        <v>38473</v>
      </c>
      <c r="C23" s="2">
        <v>2.895</v>
      </c>
      <c r="E23" s="2">
        <v>0</v>
      </c>
      <c r="G23" s="13">
        <v>2.844</v>
      </c>
      <c r="I23" s="13">
        <v>0</v>
      </c>
      <c r="K23" s="13">
        <f t="shared" si="0"/>
        <v>0.051000000000000156</v>
      </c>
      <c r="L23" s="6"/>
      <c r="M23" s="14">
        <f t="shared" si="1"/>
        <v>0.017616580310880883</v>
      </c>
    </row>
    <row r="24" spans="1:13" ht="12">
      <c r="A24" s="12">
        <v>38504</v>
      </c>
      <c r="C24" s="2">
        <v>1.813</v>
      </c>
      <c r="E24" s="2">
        <v>0</v>
      </c>
      <c r="G24" s="13">
        <v>2.509</v>
      </c>
      <c r="I24" s="13">
        <v>0.04</v>
      </c>
      <c r="K24" s="13">
        <f t="shared" si="0"/>
        <v>-0.736</v>
      </c>
      <c r="L24" s="6"/>
      <c r="M24" s="14">
        <f t="shared" si="1"/>
        <v>-0.4059569773855488</v>
      </c>
    </row>
    <row r="25" spans="1:13" ht="12">
      <c r="A25" s="12">
        <v>38534</v>
      </c>
      <c r="C25" s="2">
        <v>2.043</v>
      </c>
      <c r="E25" s="2">
        <v>0</v>
      </c>
      <c r="G25" s="13">
        <v>1.713</v>
      </c>
      <c r="I25" s="13">
        <v>0.003</v>
      </c>
      <c r="K25" s="13">
        <f t="shared" si="0"/>
        <v>0.32700000000000007</v>
      </c>
      <c r="L25" s="6"/>
      <c r="M25" s="14">
        <f t="shared" si="1"/>
        <v>0.1600587371512482</v>
      </c>
    </row>
    <row r="26" spans="1:13" ht="12">
      <c r="A26" s="12">
        <v>38565</v>
      </c>
      <c r="C26" s="2">
        <v>2.437</v>
      </c>
      <c r="E26" s="2">
        <v>0</v>
      </c>
      <c r="G26" s="13">
        <v>2.333</v>
      </c>
      <c r="I26" s="13">
        <v>0.003</v>
      </c>
      <c r="K26" s="13">
        <f t="shared" si="0"/>
        <v>0.10099999999999965</v>
      </c>
      <c r="L26" s="6"/>
      <c r="M26" s="14">
        <f t="shared" si="1"/>
        <v>0.04144439885104623</v>
      </c>
    </row>
    <row r="27" spans="1:13" ht="12">
      <c r="A27" s="12">
        <v>38596</v>
      </c>
      <c r="C27" s="2">
        <v>2.254</v>
      </c>
      <c r="E27" s="2">
        <v>0</v>
      </c>
      <c r="G27" s="13">
        <v>2.571</v>
      </c>
      <c r="I27" s="13">
        <v>0.003</v>
      </c>
      <c r="K27" s="13">
        <f t="shared" si="0"/>
        <v>-0.3200000000000002</v>
      </c>
      <c r="L27" s="6"/>
      <c r="M27" s="14">
        <f t="shared" si="1"/>
        <v>-0.14196983141082528</v>
      </c>
    </row>
    <row r="28" spans="1:13" ht="12">
      <c r="A28" s="12">
        <v>38626</v>
      </c>
      <c r="C28" s="2">
        <v>1.989</v>
      </c>
      <c r="E28" s="2">
        <v>0</v>
      </c>
      <c r="G28" s="13">
        <v>1.759</v>
      </c>
      <c r="I28" s="13">
        <v>0.003</v>
      </c>
      <c r="K28" s="13">
        <f t="shared" si="0"/>
        <v>0.2270000000000002</v>
      </c>
      <c r="L28" s="6"/>
      <c r="M28" s="14">
        <f t="shared" si="1"/>
        <v>0.11412770236299657</v>
      </c>
    </row>
    <row r="29" spans="1:13" ht="12">
      <c r="A29" s="12">
        <v>38657</v>
      </c>
      <c r="C29" s="13">
        <v>2.3</v>
      </c>
      <c r="E29" s="2">
        <v>0</v>
      </c>
      <c r="G29" s="13">
        <v>2.059</v>
      </c>
      <c r="I29" s="13">
        <v>0.015</v>
      </c>
      <c r="K29" s="13">
        <f t="shared" si="0"/>
        <v>0.22599999999999965</v>
      </c>
      <c r="L29" s="6"/>
      <c r="M29" s="14">
        <f t="shared" si="1"/>
        <v>0.09826086956521725</v>
      </c>
    </row>
    <row r="30" spans="1:13" ht="12">
      <c r="A30" s="12">
        <v>38687</v>
      </c>
      <c r="C30" s="13">
        <v>1.94</v>
      </c>
      <c r="E30" s="2">
        <v>0</v>
      </c>
      <c r="G30" s="13">
        <v>2.468</v>
      </c>
      <c r="I30" s="13">
        <v>0.003</v>
      </c>
      <c r="K30" s="13">
        <f t="shared" si="0"/>
        <v>-0.531</v>
      </c>
      <c r="L30" s="6"/>
      <c r="M30" s="14">
        <f t="shared" si="1"/>
        <v>-0.2737113402061856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109</v>
      </c>
      <c r="E32" s="4" t="s">
        <v>109</v>
      </c>
      <c r="G32" s="4" t="s">
        <v>109</v>
      </c>
      <c r="I32" s="4" t="s">
        <v>109</v>
      </c>
      <c r="K32" s="4" t="s">
        <v>109</v>
      </c>
      <c r="L32" s="6"/>
      <c r="M32" s="8" t="s">
        <v>109</v>
      </c>
    </row>
    <row r="33" spans="1:13" ht="12">
      <c r="A33" s="5" t="s">
        <v>110</v>
      </c>
      <c r="C33" s="2">
        <f>SUM(C19:C31)</f>
        <v>27.076000000000008</v>
      </c>
      <c r="E33" s="2">
        <v>0</v>
      </c>
      <c r="G33" s="13">
        <f>SUM(G19:G31)</f>
        <v>27.55</v>
      </c>
      <c r="I33" s="13">
        <f>SUM(I19:I32)</f>
        <v>0.08800000000000001</v>
      </c>
      <c r="K33" s="13">
        <f>SUM(K19:K31)</f>
        <v>-0.5620000000000003</v>
      </c>
      <c r="L33" s="6"/>
      <c r="M33" s="14">
        <f>(C33-G33-I33)/C33</f>
        <v>-0.02075638942236641</v>
      </c>
    </row>
    <row r="34" spans="3:13" ht="12">
      <c r="C34" s="4" t="s">
        <v>111</v>
      </c>
      <c r="E34" s="4" t="s">
        <v>111</v>
      </c>
      <c r="G34" s="4" t="s">
        <v>111</v>
      </c>
      <c r="I34" s="4" t="s">
        <v>111</v>
      </c>
      <c r="K34" s="4" t="s">
        <v>111</v>
      </c>
      <c r="M34" s="4" t="s">
        <v>111</v>
      </c>
    </row>
    <row r="35" ht="12">
      <c r="C35" s="67" t="s">
        <v>165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" t="s">
        <v>211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ht="12">
      <c r="A38" s="2" t="s">
        <v>212</v>
      </c>
    </row>
    <row r="39" ht="12">
      <c r="A39" s="2" t="s">
        <v>213</v>
      </c>
    </row>
    <row r="40" ht="12">
      <c r="A40" s="2" t="s">
        <v>217</v>
      </c>
    </row>
    <row r="41" ht="12">
      <c r="A41" s="2" t="s">
        <v>216</v>
      </c>
    </row>
    <row r="49" ht="24">
      <c r="G49" s="84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24">
      <selection activeCell="K25" sqref="K25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 t="s">
        <v>81</v>
      </c>
      <c r="L1" s="89"/>
      <c r="M1" s="88"/>
      <c r="N1" s="89"/>
      <c r="O1" s="89"/>
    </row>
    <row r="2" spans="1:15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2.75">
      <c r="A3" s="88" t="str">
        <f>'F-1'!A4</f>
        <v>Company:  Utilities, Inc. of Florida (604-Oakland Shores)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/>
      <c r="N3" s="89"/>
      <c r="O3" s="89" t="s">
        <v>28</v>
      </c>
    </row>
    <row r="4" spans="1:15" ht="12.75">
      <c r="A4" s="88" t="str">
        <f>'F-1'!A5</f>
        <v>Docket No.:  </v>
      </c>
      <c r="B4" s="89"/>
      <c r="C4" s="89"/>
      <c r="D4" s="88" t="str">
        <f>'F-1'!C5</f>
        <v>060253-WS</v>
      </c>
      <c r="E4" s="89"/>
      <c r="F4" s="89"/>
      <c r="G4" s="89"/>
      <c r="H4" s="89"/>
      <c r="I4" s="89"/>
      <c r="J4" s="89"/>
      <c r="K4" s="89"/>
      <c r="L4" s="89"/>
      <c r="M4" s="88"/>
      <c r="N4" s="89"/>
      <c r="O4" s="89" t="s">
        <v>84</v>
      </c>
    </row>
    <row r="5" spans="1:15" ht="12.75">
      <c r="A5" s="88" t="str">
        <f>'F-1'!A6</f>
        <v>Test Year Ended:  December 31, 2005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8"/>
      <c r="N5" s="89"/>
      <c r="O5" s="89" t="str">
        <f>'F-1'!J5</f>
        <v>Preparer:  Seidman, F.</v>
      </c>
    </row>
    <row r="6" spans="1:15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2.75">
      <c r="A8" s="88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2.75">
      <c r="A9" s="88" t="s">
        <v>26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99" t="s">
        <v>34</v>
      </c>
      <c r="F12" s="99"/>
      <c r="G12" s="99"/>
      <c r="H12" s="99"/>
      <c r="I12" s="99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31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32</v>
      </c>
      <c r="E19" s="5"/>
      <c r="F19" s="5"/>
      <c r="G19" s="68" t="s">
        <v>163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33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162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79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49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4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0" ht="12.75">
      <c r="A1" s="88" t="s">
        <v>112</v>
      </c>
      <c r="B1" s="89"/>
      <c r="C1" s="89"/>
      <c r="D1" s="89"/>
      <c r="E1" s="89"/>
      <c r="F1" s="89"/>
      <c r="G1" s="89"/>
      <c r="H1" s="89"/>
      <c r="I1" s="89"/>
      <c r="J1" s="88" t="s">
        <v>81</v>
      </c>
    </row>
    <row r="2" spans="1:10" ht="12.75">
      <c r="A2" s="88" t="s">
        <v>82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8" t="s">
        <v>113</v>
      </c>
    </row>
    <row r="4" spans="1:10" ht="12.75">
      <c r="A4" s="88" t="str">
        <f>'F-1'!A4</f>
        <v>Company:  Utilities, Inc. of Florida (604-Oakland Shores)</v>
      </c>
      <c r="B4" s="89"/>
      <c r="C4" s="89"/>
      <c r="D4" s="89"/>
      <c r="E4" s="89"/>
      <c r="F4" s="89"/>
      <c r="G4" s="89"/>
      <c r="H4" s="89"/>
      <c r="I4" s="89"/>
      <c r="J4" s="88" t="s">
        <v>84</v>
      </c>
    </row>
    <row r="5" spans="1:10" ht="12.75">
      <c r="A5" s="88" t="str">
        <f>'F-1'!A5</f>
        <v>Docket No.:  </v>
      </c>
      <c r="B5" s="89"/>
      <c r="C5" s="88" t="str">
        <f>'F-1'!C5</f>
        <v>060253-WS</v>
      </c>
      <c r="D5" s="89"/>
      <c r="E5" s="89"/>
      <c r="F5" s="89"/>
      <c r="G5" s="89"/>
      <c r="H5" s="89"/>
      <c r="I5" s="89"/>
      <c r="J5" s="88" t="str">
        <f>'F-1'!J5</f>
        <v>Preparer:  Seidman, F.</v>
      </c>
    </row>
    <row r="6" spans="1:10" ht="12.75">
      <c r="A6" s="88" t="str">
        <f>'F-1'!A6</f>
        <v>Test Year Ended:  December 31, 2005</v>
      </c>
      <c r="B6" s="89"/>
      <c r="C6" s="90"/>
      <c r="D6" s="89"/>
      <c r="E6" s="89"/>
      <c r="F6" s="89"/>
      <c r="G6" s="89"/>
      <c r="H6" s="89"/>
      <c r="I6" s="89"/>
      <c r="J6" s="89"/>
    </row>
    <row r="7" spans="1:10" ht="12.7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8" t="s">
        <v>114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2.75">
      <c r="A9" s="88" t="s">
        <v>175</v>
      </c>
      <c r="B9" s="89"/>
      <c r="C9" s="89"/>
      <c r="D9" s="89"/>
      <c r="E9" s="89"/>
      <c r="F9" s="89"/>
      <c r="G9" s="89"/>
      <c r="H9" s="89"/>
      <c r="I9" s="89"/>
      <c r="J9" s="89"/>
    </row>
    <row r="10" spans="1:13" ht="12">
      <c r="A10" s="4" t="s">
        <v>89</v>
      </c>
      <c r="B10" s="4" t="s">
        <v>89</v>
      </c>
      <c r="C10" s="4" t="s">
        <v>89</v>
      </c>
      <c r="D10" s="4" t="s">
        <v>89</v>
      </c>
      <c r="E10" s="4" t="s">
        <v>89</v>
      </c>
      <c r="F10" s="4" t="s">
        <v>89</v>
      </c>
      <c r="G10" s="4" t="s">
        <v>89</v>
      </c>
      <c r="H10" s="4" t="s">
        <v>89</v>
      </c>
      <c r="I10" s="4" t="s">
        <v>89</v>
      </c>
      <c r="J10" s="4" t="s">
        <v>89</v>
      </c>
      <c r="K10" s="18" t="s">
        <v>89</v>
      </c>
      <c r="L10" s="4" t="s">
        <v>89</v>
      </c>
      <c r="M10" s="4" t="s">
        <v>89</v>
      </c>
    </row>
    <row r="11" spans="3:13" ht="12">
      <c r="C11" s="5" t="s">
        <v>90</v>
      </c>
      <c r="E11" s="5" t="s">
        <v>91</v>
      </c>
      <c r="G11" s="5" t="s">
        <v>92</v>
      </c>
      <c r="I11" s="5" t="s">
        <v>93</v>
      </c>
      <c r="K11" s="19" t="s">
        <v>94</v>
      </c>
      <c r="M11" s="5" t="s">
        <v>95</v>
      </c>
    </row>
    <row r="12" spans="5:13" ht="12">
      <c r="E12" s="20" t="s">
        <v>115</v>
      </c>
      <c r="F12" s="20"/>
      <c r="G12" s="20"/>
      <c r="M12" s="5" t="s">
        <v>116</v>
      </c>
    </row>
    <row r="13" spans="1:13" ht="12">
      <c r="A13" s="5" t="s">
        <v>98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K13" s="19" t="s">
        <v>117</v>
      </c>
      <c r="M13" s="5" t="s">
        <v>118</v>
      </c>
    </row>
    <row r="14" spans="1:13" ht="12">
      <c r="A14" s="5" t="s">
        <v>103</v>
      </c>
      <c r="C14" s="5" t="s">
        <v>119</v>
      </c>
      <c r="E14" s="5" t="s">
        <v>119</v>
      </c>
      <c r="G14" s="5" t="s">
        <v>119</v>
      </c>
      <c r="I14" s="5" t="s">
        <v>119</v>
      </c>
      <c r="K14" s="19" t="s">
        <v>120</v>
      </c>
      <c r="M14" s="5" t="s">
        <v>121</v>
      </c>
    </row>
    <row r="15" spans="1:13" ht="12">
      <c r="A15" s="4" t="s">
        <v>89</v>
      </c>
      <c r="C15" s="21"/>
      <c r="E15" s="4" t="s">
        <v>89</v>
      </c>
      <c r="G15" s="4" t="s">
        <v>89</v>
      </c>
      <c r="I15" s="4" t="s">
        <v>89</v>
      </c>
      <c r="K15" s="18" t="s">
        <v>89</v>
      </c>
      <c r="M15" s="4" t="s">
        <v>89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5" t="s">
        <v>160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109</v>
      </c>
      <c r="D30" s="13"/>
      <c r="E30" s="8" t="s">
        <v>109</v>
      </c>
      <c r="F30" s="13"/>
      <c r="G30" s="8" t="s">
        <v>109</v>
      </c>
      <c r="H30" s="13"/>
      <c r="I30" s="8" t="s">
        <v>109</v>
      </c>
      <c r="J30" s="13"/>
      <c r="K30" s="8" t="s">
        <v>109</v>
      </c>
      <c r="L30" s="13"/>
      <c r="M30" s="8" t="s">
        <v>109</v>
      </c>
    </row>
    <row r="31" spans="1:13" ht="12">
      <c r="A31" s="5" t="s">
        <v>110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111</v>
      </c>
      <c r="E32" s="4" t="s">
        <v>111</v>
      </c>
      <c r="G32" s="4" t="s">
        <v>111</v>
      </c>
      <c r="I32" s="4" t="s">
        <v>111</v>
      </c>
      <c r="K32" s="18" t="s">
        <v>111</v>
      </c>
      <c r="M32" s="4" t="s">
        <v>111</v>
      </c>
    </row>
    <row r="49" ht="24">
      <c r="G49" s="84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8">
      <selection activeCell="A29" sqref="A29"/>
    </sheetView>
  </sheetViews>
  <sheetFormatPr defaultColWidth="9.00390625" defaultRowHeight="12.75"/>
  <cols>
    <col min="1" max="1" width="5.00390625" style="23" customWidth="1"/>
    <col min="2" max="7" width="8.75390625" style="23" customWidth="1"/>
    <col min="8" max="8" width="19.00390625" style="23" customWidth="1"/>
    <col min="9" max="9" width="6.75390625" style="23" customWidth="1"/>
    <col min="10" max="10" width="14.0039062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1" t="s">
        <v>122</v>
      </c>
      <c r="B1" s="92"/>
      <c r="C1" s="92"/>
      <c r="D1" s="92"/>
      <c r="E1" s="92"/>
      <c r="F1" s="92"/>
      <c r="G1" s="92"/>
      <c r="H1" s="91" t="s">
        <v>81</v>
      </c>
      <c r="J1" s="24"/>
    </row>
    <row r="2" spans="1:10" ht="12.75">
      <c r="A2" s="92"/>
      <c r="B2" s="92"/>
      <c r="C2" s="92"/>
      <c r="D2" s="92"/>
      <c r="E2" s="92"/>
      <c r="F2" s="92"/>
      <c r="G2" s="92"/>
      <c r="H2" s="92"/>
      <c r="J2" s="24"/>
    </row>
    <row r="3" spans="1:10" ht="12.75">
      <c r="A3" s="91" t="str">
        <f>'F-1'!A4</f>
        <v>Company:  Utilities, Inc. of Florida (604-Oakland Shores)</v>
      </c>
      <c r="B3" s="92"/>
      <c r="C3" s="92"/>
      <c r="D3" s="92"/>
      <c r="E3" s="92"/>
      <c r="F3" s="92"/>
      <c r="G3" s="92"/>
      <c r="H3" s="91" t="s">
        <v>123</v>
      </c>
      <c r="J3" s="24"/>
    </row>
    <row r="4" spans="1:10" ht="12.75">
      <c r="A4" s="91" t="str">
        <f>'F-1'!A5</f>
        <v>Docket No.:  </v>
      </c>
      <c r="B4" s="92"/>
      <c r="C4" s="91" t="str">
        <f>'F-1'!C5</f>
        <v>060253-WS</v>
      </c>
      <c r="D4" s="92"/>
      <c r="E4" s="92"/>
      <c r="F4" s="92"/>
      <c r="G4" s="92"/>
      <c r="H4" s="91" t="s">
        <v>203</v>
      </c>
      <c r="J4" s="24"/>
    </row>
    <row r="5" spans="1:10" ht="12.75">
      <c r="A5" s="91" t="str">
        <f>'F-1'!A6</f>
        <v>Test Year Ended:  December 31, 2005</v>
      </c>
      <c r="B5" s="92"/>
      <c r="C5" s="92"/>
      <c r="D5" s="92"/>
      <c r="E5" s="92"/>
      <c r="F5" s="92"/>
      <c r="G5" s="92"/>
      <c r="H5" s="91" t="str">
        <f>'F-1'!J5</f>
        <v>Preparer:  Seidman, F.</v>
      </c>
      <c r="J5" s="2"/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91" t="s">
        <v>124</v>
      </c>
      <c r="B7" s="92"/>
      <c r="C7" s="92"/>
      <c r="D7" s="92"/>
      <c r="E7" s="92"/>
      <c r="F7" s="92"/>
      <c r="G7" s="92"/>
      <c r="H7" s="92"/>
    </row>
    <row r="8" spans="1:8" ht="12.75">
      <c r="A8" s="91" t="s">
        <v>125</v>
      </c>
      <c r="B8" s="92"/>
      <c r="C8" s="92"/>
      <c r="D8" s="92"/>
      <c r="E8" s="92"/>
      <c r="F8" s="92"/>
      <c r="G8" s="92"/>
      <c r="H8" s="92"/>
    </row>
    <row r="9" spans="1:8" ht="12.75">
      <c r="A9" s="91" t="s">
        <v>176</v>
      </c>
      <c r="B9" s="92"/>
      <c r="C9" s="92"/>
      <c r="D9" s="92"/>
      <c r="E9" s="92"/>
      <c r="F9" s="92"/>
      <c r="G9" s="92"/>
      <c r="H9" s="92"/>
    </row>
    <row r="10" spans="1:13" ht="12.75">
      <c r="A10" s="25" t="s">
        <v>89</v>
      </c>
      <c r="B10" s="25" t="s">
        <v>89</v>
      </c>
      <c r="C10" s="25" t="s">
        <v>89</v>
      </c>
      <c r="D10" s="25" t="s">
        <v>89</v>
      </c>
      <c r="E10" s="25" t="s">
        <v>89</v>
      </c>
      <c r="F10" s="25" t="s">
        <v>89</v>
      </c>
      <c r="G10" s="25" t="s">
        <v>89</v>
      </c>
      <c r="H10" s="25" t="s">
        <v>89</v>
      </c>
      <c r="I10" s="25" t="s">
        <v>89</v>
      </c>
      <c r="J10" s="25" t="s">
        <v>89</v>
      </c>
      <c r="K10" s="25" t="s">
        <v>89</v>
      </c>
      <c r="L10"/>
      <c r="M10"/>
    </row>
    <row r="11" spans="10:11" s="26" customFormat="1" ht="12">
      <c r="J11" s="55" t="s">
        <v>126</v>
      </c>
      <c r="K11" s="55" t="s">
        <v>127</v>
      </c>
    </row>
    <row r="12" spans="1:11" s="26" customFormat="1" ht="13.5">
      <c r="A12" s="94">
        <v>1</v>
      </c>
      <c r="B12" s="95" t="s">
        <v>128</v>
      </c>
      <c r="C12" s="96"/>
      <c r="D12" s="94"/>
      <c r="E12" s="94"/>
      <c r="F12" s="94"/>
      <c r="G12" s="94"/>
      <c r="H12" s="94"/>
      <c r="J12" s="23"/>
      <c r="K12" s="23"/>
    </row>
    <row r="13" spans="1:11" s="26" customFormat="1" ht="13.5">
      <c r="A13" s="94"/>
      <c r="B13" s="95" t="s">
        <v>129</v>
      </c>
      <c r="C13" s="97"/>
      <c r="D13" s="97"/>
      <c r="E13" s="97"/>
      <c r="F13" s="97"/>
      <c r="G13" s="97"/>
      <c r="H13" s="94"/>
      <c r="J13" s="71" t="s">
        <v>190</v>
      </c>
      <c r="K13" s="69">
        <v>333000</v>
      </c>
    </row>
    <row r="14" spans="1:8" s="26" customFormat="1" ht="13.5">
      <c r="A14" s="94"/>
      <c r="B14" s="95" t="s">
        <v>177</v>
      </c>
      <c r="C14" s="94"/>
      <c r="D14" s="94"/>
      <c r="E14" s="94"/>
      <c r="F14" s="94"/>
      <c r="G14" s="94"/>
      <c r="H14" s="94"/>
    </row>
    <row r="15" spans="1:8" s="26" customFormat="1" ht="13.5">
      <c r="A15" s="94"/>
      <c r="B15" s="95" t="s">
        <v>191</v>
      </c>
      <c r="C15" s="94"/>
      <c r="D15" s="94"/>
      <c r="E15" s="94"/>
      <c r="F15" s="94"/>
      <c r="G15" s="94"/>
      <c r="H15" s="94"/>
    </row>
    <row r="16" spans="1:8" s="26" customFormat="1" ht="13.5">
      <c r="A16" s="94"/>
      <c r="B16" s="95"/>
      <c r="C16" s="94"/>
      <c r="D16" s="94"/>
      <c r="E16" s="94"/>
      <c r="F16" s="94"/>
      <c r="G16" s="94"/>
      <c r="H16" s="94"/>
    </row>
    <row r="17" spans="1:8" s="26" customFormat="1" ht="13.5">
      <c r="A17" s="94">
        <v>2</v>
      </c>
      <c r="B17" s="95" t="s">
        <v>130</v>
      </c>
      <c r="C17" s="96"/>
      <c r="D17" s="94"/>
      <c r="E17" s="94"/>
      <c r="F17" s="94"/>
      <c r="G17" s="94"/>
      <c r="H17" s="94"/>
    </row>
    <row r="18" spans="1:11" s="26" customFormat="1" ht="13.5">
      <c r="A18" s="94"/>
      <c r="B18" s="95" t="s">
        <v>131</v>
      </c>
      <c r="C18" s="94"/>
      <c r="D18" s="94"/>
      <c r="E18" s="94"/>
      <c r="F18" s="94"/>
      <c r="G18" s="94"/>
      <c r="H18" s="94"/>
      <c r="J18" s="60">
        <v>38499</v>
      </c>
      <c r="K18" s="59">
        <v>156000</v>
      </c>
    </row>
    <row r="19" spans="1:10" s="26" customFormat="1" ht="13.5">
      <c r="A19" s="94"/>
      <c r="B19" s="95" t="s">
        <v>178</v>
      </c>
      <c r="C19" s="94"/>
      <c r="D19" s="94"/>
      <c r="E19" s="94"/>
      <c r="F19" s="94"/>
      <c r="G19" s="94"/>
      <c r="H19" s="94"/>
      <c r="J19" s="22"/>
    </row>
    <row r="20" spans="1:8" s="26" customFormat="1" ht="13.5">
      <c r="A20" s="94"/>
      <c r="B20" s="95" t="s">
        <v>173</v>
      </c>
      <c r="C20" s="94"/>
      <c r="D20" s="94"/>
      <c r="E20" s="94"/>
      <c r="F20" s="94"/>
      <c r="G20" s="94"/>
      <c r="H20" s="94"/>
    </row>
    <row r="21" spans="1:8" s="26" customFormat="1" ht="13.5">
      <c r="A21" s="94"/>
      <c r="B21" s="94"/>
      <c r="C21" s="94"/>
      <c r="D21" s="94"/>
      <c r="E21" s="94"/>
      <c r="F21" s="94"/>
      <c r="G21" s="94"/>
      <c r="H21" s="94"/>
    </row>
    <row r="22" spans="1:8" s="26" customFormat="1" ht="13.5">
      <c r="A22" s="94">
        <v>3</v>
      </c>
      <c r="B22" s="95" t="s">
        <v>0</v>
      </c>
      <c r="C22" s="96"/>
      <c r="D22" s="94"/>
      <c r="E22" s="94"/>
      <c r="F22" s="94"/>
      <c r="G22" s="94"/>
      <c r="H22" s="94"/>
    </row>
    <row r="23" spans="1:11" s="26" customFormat="1" ht="13.5">
      <c r="A23" s="94"/>
      <c r="B23" s="95" t="s">
        <v>1</v>
      </c>
      <c r="C23" s="94"/>
      <c r="D23" s="94"/>
      <c r="E23" s="94"/>
      <c r="F23" s="94"/>
      <c r="G23" s="94"/>
      <c r="H23" s="94"/>
      <c r="I23" s="53" t="s">
        <v>90</v>
      </c>
      <c r="J23" s="60">
        <v>38496</v>
      </c>
      <c r="K23" s="59">
        <v>125000</v>
      </c>
    </row>
    <row r="24" spans="1:11" s="26" customFormat="1" ht="13.5">
      <c r="A24" s="94"/>
      <c r="B24" s="95" t="s">
        <v>50</v>
      </c>
      <c r="C24" s="94"/>
      <c r="D24" s="94"/>
      <c r="E24" s="94"/>
      <c r="F24" s="94"/>
      <c r="G24" s="94"/>
      <c r="H24" s="94"/>
      <c r="I24" s="53" t="s">
        <v>91</v>
      </c>
      <c r="J24" s="60">
        <v>38494</v>
      </c>
      <c r="K24" s="59">
        <v>127000</v>
      </c>
    </row>
    <row r="25" spans="1:11" s="26" customFormat="1" ht="13.5">
      <c r="A25" s="94"/>
      <c r="B25" s="95" t="s">
        <v>179</v>
      </c>
      <c r="C25" s="94"/>
      <c r="D25" s="94"/>
      <c r="E25" s="94"/>
      <c r="F25" s="94"/>
      <c r="G25" s="94"/>
      <c r="H25" s="94"/>
      <c r="I25" s="53" t="s">
        <v>92</v>
      </c>
      <c r="J25" s="60">
        <v>38495</v>
      </c>
      <c r="K25" s="59">
        <v>129000</v>
      </c>
    </row>
    <row r="26" spans="1:11" s="26" customFormat="1" ht="13.5">
      <c r="A26" s="94"/>
      <c r="B26" s="95" t="s">
        <v>51</v>
      </c>
      <c r="C26" s="94"/>
      <c r="D26" s="94"/>
      <c r="E26" s="94"/>
      <c r="F26" s="94"/>
      <c r="G26" s="94"/>
      <c r="H26" s="94"/>
      <c r="I26" s="53" t="s">
        <v>93</v>
      </c>
      <c r="J26" s="60">
        <v>38498</v>
      </c>
      <c r="K26" s="59">
        <v>129000</v>
      </c>
    </row>
    <row r="27" spans="1:11" s="26" customFormat="1" ht="13.5">
      <c r="A27" s="94"/>
      <c r="B27" s="94"/>
      <c r="C27" s="94"/>
      <c r="D27" s="94"/>
      <c r="E27" s="94"/>
      <c r="F27" s="94"/>
      <c r="G27" s="94"/>
      <c r="H27" s="94"/>
      <c r="I27" s="53" t="s">
        <v>94</v>
      </c>
      <c r="J27" s="60">
        <v>38499</v>
      </c>
      <c r="K27" s="59">
        <v>156000</v>
      </c>
    </row>
    <row r="28" spans="1:11" s="26" customFormat="1" ht="13.5">
      <c r="A28" s="94"/>
      <c r="B28" s="94"/>
      <c r="C28" s="94"/>
      <c r="D28" s="94"/>
      <c r="E28" s="94"/>
      <c r="F28" s="94"/>
      <c r="G28" s="94"/>
      <c r="H28" s="94"/>
      <c r="I28" s="53"/>
      <c r="J28" s="58"/>
      <c r="K28" s="54"/>
    </row>
    <row r="29" spans="1:11" s="26" customFormat="1" ht="13.5">
      <c r="A29" s="94"/>
      <c r="B29" s="94"/>
      <c r="C29" s="94"/>
      <c r="D29" s="94"/>
      <c r="E29" s="94"/>
      <c r="F29" s="94"/>
      <c r="G29" s="94"/>
      <c r="H29" s="94"/>
      <c r="J29" s="26" t="s">
        <v>52</v>
      </c>
      <c r="K29" s="59">
        <f>AVERAGE(K23:K27)</f>
        <v>133200</v>
      </c>
    </row>
    <row r="30" spans="1:11" s="26" customFormat="1" ht="13.5">
      <c r="A30" s="94"/>
      <c r="B30" s="94"/>
      <c r="C30" s="94"/>
      <c r="D30" s="94"/>
      <c r="E30" s="94"/>
      <c r="F30" s="94"/>
      <c r="G30" s="94"/>
      <c r="H30" s="94"/>
      <c r="K30" s="25"/>
    </row>
    <row r="31" spans="1:11" s="26" customFormat="1" ht="13.5">
      <c r="A31" s="94"/>
      <c r="B31" s="94"/>
      <c r="C31" s="98"/>
      <c r="D31" s="98"/>
      <c r="E31" s="98"/>
      <c r="F31" s="94"/>
      <c r="G31" s="94"/>
      <c r="H31" s="94"/>
      <c r="J31" s="55" t="s">
        <v>169</v>
      </c>
      <c r="K31" s="59">
        <f>'F-1'!G23*10^6/31/2</f>
        <v>45870.967741935485</v>
      </c>
    </row>
    <row r="32" spans="1:11" s="26" customFormat="1" ht="13.5">
      <c r="A32" s="94">
        <v>4</v>
      </c>
      <c r="B32" s="98" t="s">
        <v>53</v>
      </c>
      <c r="C32" s="94"/>
      <c r="D32" s="94"/>
      <c r="E32" s="94"/>
      <c r="F32" s="94"/>
      <c r="G32" s="94"/>
      <c r="H32" s="94"/>
      <c r="J32" s="60" t="s">
        <v>46</v>
      </c>
      <c r="K32" s="59">
        <f>'F-1'!G33*10^6/365</f>
        <v>75479.45205479451</v>
      </c>
    </row>
    <row r="33" spans="1:8" s="26" customFormat="1" ht="13.5">
      <c r="A33" s="94"/>
      <c r="B33" s="94"/>
      <c r="C33" s="94"/>
      <c r="D33" s="94"/>
      <c r="E33" s="94"/>
      <c r="F33" s="94"/>
      <c r="G33" s="94"/>
      <c r="H33" s="94"/>
    </row>
    <row r="34" spans="1:11" s="26" customFormat="1" ht="13.5">
      <c r="A34" s="94">
        <v>5</v>
      </c>
      <c r="B34" s="95" t="s">
        <v>2</v>
      </c>
      <c r="C34" s="94"/>
      <c r="D34" s="94"/>
      <c r="E34" s="95" t="s">
        <v>161</v>
      </c>
      <c r="F34" s="94"/>
      <c r="G34" s="94"/>
      <c r="H34" s="94"/>
      <c r="K34" s="26" t="s">
        <v>201</v>
      </c>
    </row>
    <row r="35" spans="1:8" s="26" customFormat="1" ht="13.5">
      <c r="A35" s="94"/>
      <c r="B35" s="94"/>
      <c r="C35" s="94"/>
      <c r="D35" s="94"/>
      <c r="E35" s="94"/>
      <c r="F35" s="94"/>
      <c r="G35" s="94"/>
      <c r="H35" s="94"/>
    </row>
    <row r="36" spans="1:8" s="26" customFormat="1" ht="13.5">
      <c r="A36" s="94"/>
      <c r="B36" s="95" t="s">
        <v>54</v>
      </c>
      <c r="C36" s="94"/>
      <c r="D36" s="94"/>
      <c r="E36" s="94"/>
      <c r="F36" s="94"/>
      <c r="G36" s="94"/>
      <c r="H36" s="94"/>
    </row>
    <row r="37" spans="1:8" s="26" customFormat="1" ht="13.5">
      <c r="A37" s="94"/>
      <c r="B37" s="95" t="s">
        <v>55</v>
      </c>
      <c r="C37" s="94"/>
      <c r="D37" s="94"/>
      <c r="E37" s="94"/>
      <c r="F37" s="94"/>
      <c r="G37" s="94"/>
      <c r="H37" s="94"/>
    </row>
    <row r="38" spans="1:8" s="26" customFormat="1" ht="13.5">
      <c r="A38" s="94"/>
      <c r="B38" s="95" t="s">
        <v>56</v>
      </c>
      <c r="C38" s="94"/>
      <c r="D38" s="94"/>
      <c r="E38" s="94"/>
      <c r="F38" s="94"/>
      <c r="G38" s="94"/>
      <c r="H38" s="94"/>
    </row>
    <row r="39" spans="1:8" s="26" customFormat="1" ht="13.5">
      <c r="A39" s="94"/>
      <c r="B39" s="94"/>
      <c r="C39" s="94"/>
      <c r="D39" s="94"/>
      <c r="E39" s="94"/>
      <c r="F39" s="94"/>
      <c r="G39" s="94"/>
      <c r="H39" s="94"/>
    </row>
    <row r="40" s="26" customFormat="1" ht="12">
      <c r="B40" s="22" t="s">
        <v>198</v>
      </c>
    </row>
    <row r="41" s="26" customFormat="1" ht="12">
      <c r="B41" s="22" t="s">
        <v>199</v>
      </c>
    </row>
    <row r="42" spans="2:10" s="26" customFormat="1" ht="12.75">
      <c r="B42" s="22" t="s">
        <v>200</v>
      </c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5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49">
      <selection activeCell="F49" sqref="F49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8" t="s">
        <v>3</v>
      </c>
      <c r="B1" s="89"/>
      <c r="C1" s="89"/>
      <c r="D1" s="89"/>
      <c r="E1" s="89"/>
      <c r="F1" s="89"/>
      <c r="G1" s="89"/>
      <c r="H1" s="89"/>
      <c r="I1" s="89"/>
      <c r="J1" s="88" t="s">
        <v>81</v>
      </c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8" t="str">
        <f>'F-1'!A4</f>
        <v>Company:  Utilities, Inc. of Florida (604-Oakland Shores)</v>
      </c>
      <c r="B3" s="89"/>
      <c r="C3" s="89"/>
      <c r="D3" s="89"/>
      <c r="E3" s="89"/>
      <c r="F3" s="89"/>
      <c r="G3" s="89"/>
      <c r="H3" s="89"/>
      <c r="I3" s="89"/>
      <c r="J3" s="88" t="s">
        <v>4</v>
      </c>
    </row>
    <row r="4" spans="1:10" ht="12.75">
      <c r="A4" s="88" t="str">
        <f>'F-1'!A5</f>
        <v>Docket No.:  </v>
      </c>
      <c r="B4" s="89"/>
      <c r="C4" s="88" t="str">
        <f>'F-1'!C5</f>
        <v>060253-WS</v>
      </c>
      <c r="D4" s="89"/>
      <c r="E4" s="89"/>
      <c r="F4" s="89"/>
      <c r="G4" s="89"/>
      <c r="H4" s="89"/>
      <c r="I4" s="89"/>
      <c r="J4" s="88" t="s">
        <v>84</v>
      </c>
    </row>
    <row r="5" spans="1:10" ht="12.75">
      <c r="A5" s="88" t="str">
        <f>'F-1'!A6</f>
        <v>Test Year Ended:  December 31, 2005</v>
      </c>
      <c r="B5" s="89"/>
      <c r="C5" s="90"/>
      <c r="D5" s="89"/>
      <c r="E5" s="89"/>
      <c r="F5" s="89"/>
      <c r="G5" s="89"/>
      <c r="H5" s="89"/>
      <c r="I5" s="89"/>
      <c r="J5" s="88" t="str">
        <f>'F-1'!J5</f>
        <v>Preparer:  Seidman, F.</v>
      </c>
    </row>
    <row r="6" spans="1:10" ht="12.7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12.75">
      <c r="A7" s="88" t="s">
        <v>5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8" t="s">
        <v>180</v>
      </c>
      <c r="B8" s="89"/>
      <c r="C8" s="89"/>
      <c r="D8" s="89"/>
      <c r="E8" s="89"/>
      <c r="F8" s="89"/>
      <c r="G8" s="89"/>
      <c r="H8" s="89"/>
      <c r="I8" s="89"/>
      <c r="J8" s="89"/>
    </row>
    <row r="9" spans="1:13" ht="12">
      <c r="A9" s="4" t="s">
        <v>89</v>
      </c>
      <c r="B9" s="4" t="s">
        <v>89</v>
      </c>
      <c r="C9" s="4" t="s">
        <v>89</v>
      </c>
      <c r="D9" s="4" t="s">
        <v>89</v>
      </c>
      <c r="E9" s="4" t="s">
        <v>89</v>
      </c>
      <c r="F9" s="4" t="s">
        <v>89</v>
      </c>
      <c r="G9" s="4" t="s">
        <v>89</v>
      </c>
      <c r="H9" s="4" t="s">
        <v>89</v>
      </c>
      <c r="I9" s="4" t="s">
        <v>89</v>
      </c>
      <c r="J9" s="4" t="s">
        <v>89</v>
      </c>
      <c r="K9" s="4" t="s">
        <v>89</v>
      </c>
      <c r="L9" s="33" t="s">
        <v>89</v>
      </c>
      <c r="M9" s="4" t="s">
        <v>89</v>
      </c>
    </row>
    <row r="10" spans="10:12" ht="12">
      <c r="J10" s="5" t="s">
        <v>6</v>
      </c>
      <c r="L10" s="34" t="s">
        <v>127</v>
      </c>
    </row>
    <row r="11" spans="4:12" ht="12">
      <c r="D11" s="66" t="s">
        <v>166</v>
      </c>
      <c r="J11" s="4" t="s">
        <v>89</v>
      </c>
      <c r="L11" s="33" t="s">
        <v>89</v>
      </c>
    </row>
    <row r="13" spans="1:12" ht="12">
      <c r="A13" s="5" t="s">
        <v>7</v>
      </c>
      <c r="B13" s="1" t="s">
        <v>128</v>
      </c>
      <c r="J13" s="35"/>
      <c r="L13" s="36"/>
    </row>
    <row r="15" spans="2:10" ht="12">
      <c r="B15" s="1" t="s">
        <v>8</v>
      </c>
      <c r="J15" s="12"/>
    </row>
    <row r="16" spans="2:10" ht="12">
      <c r="B16" s="1" t="s">
        <v>177</v>
      </c>
      <c r="J16" s="12"/>
    </row>
    <row r="17" ht="12">
      <c r="J17" s="12"/>
    </row>
    <row r="18" ht="12">
      <c r="J18" s="12"/>
    </row>
    <row r="20" spans="1:12" ht="12">
      <c r="A20" s="5" t="s">
        <v>9</v>
      </c>
      <c r="B20" s="1" t="s">
        <v>10</v>
      </c>
      <c r="J20" s="37"/>
      <c r="L20" s="36"/>
    </row>
    <row r="22" ht="12">
      <c r="B22" s="1" t="s">
        <v>11</v>
      </c>
    </row>
    <row r="23" ht="12">
      <c r="B23" s="1" t="s">
        <v>12</v>
      </c>
    </row>
    <row r="24" ht="12">
      <c r="B24" s="1" t="s">
        <v>13</v>
      </c>
    </row>
    <row r="25" ht="12">
      <c r="B25" s="1" t="s">
        <v>14</v>
      </c>
    </row>
    <row r="49" ht="24">
      <c r="F49" s="84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7" top="1" bottom="1" header="0.5" footer="0.5"/>
  <pageSetup fitToHeight="1" fitToWidth="1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tabSelected="1" workbookViewId="0" topLeftCell="A40">
      <selection activeCell="B52" sqref="B52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00390625" style="2" customWidth="1"/>
    <col min="6" max="6" width="8.75390625" style="2" customWidth="1"/>
    <col min="7" max="7" width="12.25390625" style="2" customWidth="1"/>
    <col min="8" max="8" width="11.00390625" style="2" customWidth="1"/>
    <col min="9" max="9" width="8.625" style="2" customWidth="1"/>
    <col min="10" max="10" width="8.00390625" style="2" customWidth="1"/>
    <col min="11" max="11" width="11.75390625" style="2" customWidth="1"/>
    <col min="12" max="195" width="8.75390625" style="2" customWidth="1"/>
    <col min="196" max="16384" width="10.75390625" style="2" customWidth="1"/>
  </cols>
  <sheetData>
    <row r="1" spans="1:10" ht="12.75">
      <c r="A1" s="88" t="s">
        <v>15</v>
      </c>
      <c r="B1" s="89"/>
      <c r="C1" s="89"/>
      <c r="D1" s="89"/>
      <c r="E1" s="89"/>
      <c r="F1" s="88" t="s">
        <v>81</v>
      </c>
      <c r="G1" s="89"/>
      <c r="H1" s="89"/>
      <c r="I1" s="89"/>
      <c r="J1" s="89"/>
    </row>
    <row r="2" spans="1:10" ht="12.75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88" t="str">
        <f>'F-1'!A4</f>
        <v>Company:  Utilities, Inc. of Florida (604-Oakland Shores)</v>
      </c>
      <c r="B4" s="89"/>
      <c r="C4" s="89"/>
      <c r="D4" s="89"/>
      <c r="E4" s="89"/>
      <c r="F4" s="89"/>
      <c r="G4" s="89"/>
      <c r="H4" s="89"/>
      <c r="I4" s="88" t="s">
        <v>17</v>
      </c>
      <c r="J4" s="89"/>
    </row>
    <row r="5" spans="1:10" ht="12.75">
      <c r="A5" s="88" t="str">
        <f>'F-1'!A5</f>
        <v>Docket No.:  </v>
      </c>
      <c r="B5" s="89"/>
      <c r="C5" s="88" t="str">
        <f>'F-1'!C5</f>
        <v>060253-WS</v>
      </c>
      <c r="D5" s="89"/>
      <c r="E5" s="89"/>
      <c r="F5" s="89"/>
      <c r="G5" s="89"/>
      <c r="H5" s="89"/>
      <c r="I5" s="88" t="s">
        <v>84</v>
      </c>
      <c r="J5" s="89"/>
    </row>
    <row r="6" spans="1:10" ht="12.75">
      <c r="A6" s="88" t="str">
        <f>'F-1'!A6</f>
        <v>Test Year Ended:  December 31, 2005</v>
      </c>
      <c r="B6" s="89"/>
      <c r="C6" s="89"/>
      <c r="D6" s="89"/>
      <c r="E6" s="89"/>
      <c r="F6" s="89"/>
      <c r="G6" s="89"/>
      <c r="H6" s="89"/>
      <c r="I6" s="88" t="str">
        <f>'F-1'!J5</f>
        <v>Preparer:  Seidman, F.</v>
      </c>
      <c r="J6" s="89"/>
    </row>
    <row r="7" spans="1:10" ht="12.7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8" t="s">
        <v>18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2.75">
      <c r="A9" s="88" t="s">
        <v>19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2.75">
      <c r="A10" s="88" t="s">
        <v>20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1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ht="12.75"/>
    <row r="13" spans="1:10" ht="12.75">
      <c r="A13" s="1" t="s">
        <v>57</v>
      </c>
      <c r="J13"/>
    </row>
    <row r="14" spans="1:10" s="44" customFormat="1" ht="12.75">
      <c r="A14" s="42"/>
      <c r="B14" s="43"/>
      <c r="J14"/>
    </row>
    <row r="15" spans="1:10" s="44" customFormat="1" ht="12.75">
      <c r="A15" s="42"/>
      <c r="J15"/>
    </row>
    <row r="16" spans="1:10" s="44" customFormat="1" ht="12.75">
      <c r="A16" s="42"/>
      <c r="B16" s="44" t="s">
        <v>132</v>
      </c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133</v>
      </c>
      <c r="E18" s="45"/>
      <c r="I18" s="63">
        <v>395</v>
      </c>
      <c r="J18" t="s">
        <v>134</v>
      </c>
    </row>
    <row r="19" spans="1:10" s="44" customFormat="1" ht="12.75">
      <c r="A19" s="42"/>
      <c r="B19" s="44" t="s">
        <v>185</v>
      </c>
      <c r="E19" s="45"/>
      <c r="I19" s="63">
        <v>395</v>
      </c>
      <c r="J19" s="61" t="s">
        <v>134</v>
      </c>
    </row>
    <row r="20" spans="1:10" s="44" customFormat="1" ht="12.75">
      <c r="A20" s="42"/>
      <c r="I20" s="63"/>
      <c r="J20"/>
    </row>
    <row r="21" spans="1:10" s="44" customFormat="1" ht="12.75">
      <c r="A21" s="42"/>
      <c r="B21" s="44" t="s">
        <v>135</v>
      </c>
      <c r="I21" s="63">
        <v>16800</v>
      </c>
      <c r="J21" s="62" t="s">
        <v>136</v>
      </c>
    </row>
    <row r="22" spans="1:10" s="44" customFormat="1" ht="12.75">
      <c r="A22" s="42"/>
      <c r="B22" s="44" t="s">
        <v>137</v>
      </c>
      <c r="I22" s="63">
        <f>0.9*I21</f>
        <v>15120</v>
      </c>
      <c r="J22" s="62" t="s">
        <v>136</v>
      </c>
    </row>
    <row r="23" spans="1:10" s="44" customFormat="1" ht="12.75">
      <c r="A23" s="42"/>
      <c r="B23" s="44" t="s">
        <v>138</v>
      </c>
      <c r="I23" s="63">
        <v>7000</v>
      </c>
      <c r="J23" s="62" t="s">
        <v>136</v>
      </c>
    </row>
    <row r="24" spans="1:10" s="44" customFormat="1" ht="12.75">
      <c r="A24" s="42"/>
      <c r="B24" s="44" t="s">
        <v>139</v>
      </c>
      <c r="I24" s="63">
        <f>+I23/3</f>
        <v>2333.3333333333335</v>
      </c>
      <c r="J24" s="62" t="s">
        <v>136</v>
      </c>
    </row>
    <row r="25" spans="1:10" s="44" customFormat="1" ht="12.75">
      <c r="A25" s="42"/>
      <c r="I25" s="63">
        <f>+I22+I24</f>
        <v>17453.333333333332</v>
      </c>
      <c r="J25" s="62" t="s">
        <v>136</v>
      </c>
    </row>
    <row r="26" spans="1:10" s="44" customFormat="1" ht="12.75">
      <c r="A26" s="42"/>
      <c r="I26" s="63"/>
      <c r="J26"/>
    </row>
    <row r="27" spans="1:10" s="44" customFormat="1" ht="12.75">
      <c r="A27" s="42"/>
      <c r="J27"/>
    </row>
    <row r="28" spans="1:10" s="44" customFormat="1" ht="12.75">
      <c r="A28" s="42"/>
      <c r="B28" s="44" t="s">
        <v>140</v>
      </c>
      <c r="I28" s="63">
        <v>500</v>
      </c>
      <c r="J28" t="s">
        <v>134</v>
      </c>
    </row>
    <row r="29" spans="1:10" s="44" customFormat="1" ht="12.75">
      <c r="A29" s="42"/>
      <c r="I29" s="64"/>
      <c r="J29"/>
    </row>
    <row r="30" spans="1:10" s="44" customFormat="1" ht="12.75">
      <c r="A30" s="42"/>
      <c r="B30" s="44" t="s">
        <v>168</v>
      </c>
      <c r="I30" s="63">
        <f>'F-3'!K31</f>
        <v>45870.967741935485</v>
      </c>
      <c r="J30" t="s">
        <v>142</v>
      </c>
    </row>
    <row r="31" spans="1:10" s="44" customFormat="1" ht="12.75">
      <c r="A31" s="42"/>
      <c r="B31" s="44" t="s">
        <v>141</v>
      </c>
      <c r="I31" s="63">
        <f>'F-3'!K18</f>
        <v>156000</v>
      </c>
      <c r="J31" t="s">
        <v>142</v>
      </c>
    </row>
    <row r="32" spans="1:10" s="44" customFormat="1" ht="12.75">
      <c r="A32" s="42"/>
      <c r="B32" s="44" t="s">
        <v>143</v>
      </c>
      <c r="I32" s="63">
        <f>2*I31</f>
        <v>312000</v>
      </c>
      <c r="J32" t="s">
        <v>142</v>
      </c>
    </row>
    <row r="33" spans="1:10" s="44" customFormat="1" ht="12.75">
      <c r="A33" s="42"/>
      <c r="I33" s="63"/>
      <c r="J33"/>
    </row>
    <row r="34" spans="1:10" s="44" customFormat="1" ht="12.75">
      <c r="A34" s="42"/>
      <c r="I34" s="63"/>
      <c r="J34"/>
    </row>
    <row r="35" spans="1:10" s="44" customFormat="1" ht="12.75">
      <c r="A35" s="42"/>
      <c r="B35" s="44" t="s">
        <v>144</v>
      </c>
      <c r="E35" s="44" t="s">
        <v>202</v>
      </c>
      <c r="I35" s="63">
        <f>600*60*2</f>
        <v>72000</v>
      </c>
      <c r="J35" t="s">
        <v>142</v>
      </c>
    </row>
    <row r="36" spans="1:10" s="44" customFormat="1" ht="12.75">
      <c r="A36" s="42"/>
      <c r="I36" s="63"/>
      <c r="J36"/>
    </row>
    <row r="37" spans="1:10" s="44" customFormat="1" ht="12.75">
      <c r="A37" s="42"/>
      <c r="B37" s="44" t="s">
        <v>145</v>
      </c>
      <c r="E37" s="45">
        <f>'F-1'!M33</f>
        <v>-0.02075638942236641</v>
      </c>
      <c r="F37" s="44" t="s">
        <v>146</v>
      </c>
      <c r="I37" s="63">
        <f>'F-1'!K33/365*10^6</f>
        <v>-1539.726027397261</v>
      </c>
      <c r="J37" t="s">
        <v>147</v>
      </c>
    </row>
    <row r="38" spans="1:10" s="44" customFormat="1" ht="12.75">
      <c r="A38" s="42"/>
      <c r="B38" s="44" t="s">
        <v>148</v>
      </c>
      <c r="E38" s="45">
        <v>0.125</v>
      </c>
      <c r="I38" s="63">
        <f>('F-1'!C33/365*10^6)*0.125</f>
        <v>9272.60273972603</v>
      </c>
      <c r="J38" t="s">
        <v>147</v>
      </c>
    </row>
    <row r="39" spans="1:10" s="44" customFormat="1" ht="12.75">
      <c r="A39" s="42"/>
      <c r="B39" s="44" t="s">
        <v>149</v>
      </c>
      <c r="I39" s="63">
        <f>IF(I37&lt;I38,0,I37-I38)</f>
        <v>0</v>
      </c>
      <c r="J39" t="s">
        <v>147</v>
      </c>
    </row>
    <row r="40" spans="1:10" s="44" customFormat="1" ht="12.75">
      <c r="A40" s="42"/>
      <c r="J40"/>
    </row>
    <row r="41" spans="1:10" s="44" customFormat="1" ht="12.75">
      <c r="A41" s="42"/>
      <c r="B41" s="70" t="s">
        <v>181</v>
      </c>
      <c r="C41" s="70"/>
      <c r="D41" s="70"/>
      <c r="J41"/>
    </row>
    <row r="42" spans="1:10" s="44" customFormat="1" ht="12.75">
      <c r="A42" s="42"/>
      <c r="B42" s="44" t="s">
        <v>214</v>
      </c>
      <c r="J42"/>
    </row>
    <row r="43" spans="1:10" s="44" customFormat="1" ht="12.75">
      <c r="A43" s="42"/>
      <c r="B43" s="44" t="s">
        <v>182</v>
      </c>
      <c r="J43"/>
    </row>
    <row r="44" spans="1:10" s="44" customFormat="1" ht="12.75">
      <c r="A44" s="42"/>
      <c r="B44" s="44" t="s">
        <v>183</v>
      </c>
      <c r="J44"/>
    </row>
    <row r="45" spans="1:10" s="44" customFormat="1" ht="12.75">
      <c r="A45" s="42"/>
      <c r="J45"/>
    </row>
    <row r="46" spans="1:10" s="44" customFormat="1" ht="12.75">
      <c r="A46" s="42"/>
      <c r="B46" s="44" t="s">
        <v>184</v>
      </c>
      <c r="J46"/>
    </row>
    <row r="47" spans="1:10" s="44" customFormat="1" ht="12.75">
      <c r="A47" s="42"/>
      <c r="B47" s="44" t="s">
        <v>205</v>
      </c>
      <c r="J47"/>
    </row>
    <row r="48" spans="1:10" s="44" customFormat="1" ht="12.75">
      <c r="A48" s="42"/>
      <c r="B48" s="44" t="s">
        <v>206</v>
      </c>
      <c r="J48"/>
    </row>
    <row r="49" spans="1:10" s="44" customFormat="1" ht="12.75">
      <c r="A49" s="42"/>
      <c r="B49" s="44" t="s">
        <v>207</v>
      </c>
      <c r="J49"/>
    </row>
    <row r="50" spans="1:10" s="44" customFormat="1" ht="12.75">
      <c r="A50" s="42"/>
      <c r="B50" s="44" t="s">
        <v>208</v>
      </c>
      <c r="J50"/>
    </row>
    <row r="51" spans="1:10" s="44" customFormat="1" ht="12.75">
      <c r="A51" s="42"/>
      <c r="B51" s="44" t="s">
        <v>218</v>
      </c>
      <c r="J51"/>
    </row>
    <row r="52" spans="1:10" s="44" customFormat="1" ht="12.75">
      <c r="A52" s="42"/>
      <c r="J52"/>
    </row>
    <row r="53" spans="1:10" s="44" customFormat="1" ht="12.75">
      <c r="A53" s="42"/>
      <c r="B53" s="44" t="s">
        <v>150</v>
      </c>
      <c r="I53" s="45">
        <f>IF((I55+I56+I57-I58)/I59&gt;1,1,(I55+I56+I57-I58)/I59)</f>
        <v>1</v>
      </c>
      <c r="J53"/>
    </row>
    <row r="54" spans="1:10" ht="18" customHeight="1">
      <c r="A54" s="42"/>
      <c r="B54" s="44"/>
      <c r="C54" s="44"/>
      <c r="D54" s="44"/>
      <c r="E54" s="44"/>
      <c r="F54" s="44"/>
      <c r="G54" s="44"/>
      <c r="H54" s="44"/>
      <c r="I54" s="44"/>
      <c r="J54"/>
    </row>
    <row r="55" spans="1:10" s="44" customFormat="1" ht="12.75">
      <c r="A55" s="42"/>
      <c r="B55" s="44" t="s">
        <v>151</v>
      </c>
      <c r="C55" s="44" t="s">
        <v>152</v>
      </c>
      <c r="I55" s="63">
        <f>I31/1440</f>
        <v>108.33333333333333</v>
      </c>
      <c r="J55" t="s">
        <v>134</v>
      </c>
    </row>
    <row r="56" spans="1:10" s="44" customFormat="1" ht="12.75">
      <c r="A56" s="42"/>
      <c r="B56" s="44" t="s">
        <v>153</v>
      </c>
      <c r="C56" s="44" t="s">
        <v>154</v>
      </c>
      <c r="I56" s="44">
        <v>0</v>
      </c>
      <c r="J56"/>
    </row>
    <row r="57" spans="1:10" s="44" customFormat="1" ht="12.75">
      <c r="A57" s="42"/>
      <c r="B57" s="44" t="s">
        <v>155</v>
      </c>
      <c r="C57" s="44" t="s">
        <v>156</v>
      </c>
      <c r="I57" s="63">
        <f>+I35/120</f>
        <v>600</v>
      </c>
      <c r="J57" t="s">
        <v>134</v>
      </c>
    </row>
    <row r="58" spans="1:10" s="44" customFormat="1" ht="12.75">
      <c r="A58" s="42"/>
      <c r="B58" s="44" t="s">
        <v>157</v>
      </c>
      <c r="C58" s="44" t="s">
        <v>158</v>
      </c>
      <c r="I58" s="63">
        <f>+I39</f>
        <v>0</v>
      </c>
      <c r="J58"/>
    </row>
    <row r="59" spans="1:10" s="44" customFormat="1" ht="12.75">
      <c r="A59" s="42"/>
      <c r="B59" s="44" t="s">
        <v>159</v>
      </c>
      <c r="C59" s="44" t="s">
        <v>170</v>
      </c>
      <c r="I59" s="63">
        <f>+I28</f>
        <v>500</v>
      </c>
      <c r="J59" t="s">
        <v>134</v>
      </c>
    </row>
    <row r="60" spans="1:10" s="44" customFormat="1" ht="12.75">
      <c r="A60" s="42"/>
      <c r="J60"/>
    </row>
    <row r="61" s="44" customFormat="1" ht="12.75">
      <c r="A61" s="42"/>
    </row>
    <row r="62" s="44" customFormat="1" ht="12.75">
      <c r="C62" s="44" t="s">
        <v>171</v>
      </c>
    </row>
    <row r="63" spans="5:6" ht="12.75" hidden="1">
      <c r="E63" s="9"/>
      <c r="F63"/>
    </row>
    <row r="64" ht="12" hidden="1">
      <c r="E64" s="9"/>
    </row>
    <row r="65" ht="12.75">
      <c r="C65" s="44" t="s">
        <v>172</v>
      </c>
    </row>
    <row r="66" ht="12.75">
      <c r="C66" s="44"/>
    </row>
    <row r="67" ht="12.75">
      <c r="C67" s="44"/>
    </row>
    <row r="69" ht="24">
      <c r="F69" s="84"/>
    </row>
    <row r="103" ht="12">
      <c r="F103" s="9"/>
    </row>
  </sheetData>
  <printOptions/>
  <pageMargins left="0.75" right="0.5" top="1" bottom="1" header="0.5" footer="0.5"/>
  <pageSetup fitToHeight="1" fitToWidth="1" orientation="portrait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47">
      <selection activeCell="F49" sqref="F49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8" ht="12.75">
      <c r="A1" s="88" t="s">
        <v>15</v>
      </c>
      <c r="B1" s="89"/>
      <c r="C1" s="89"/>
      <c r="D1" s="89"/>
      <c r="E1" s="89"/>
      <c r="F1" s="89"/>
      <c r="G1" s="88" t="s">
        <v>58</v>
      </c>
      <c r="H1" s="89"/>
    </row>
    <row r="2" spans="1:8" ht="12.75">
      <c r="A2" s="88" t="s">
        <v>59</v>
      </c>
      <c r="B2" s="89"/>
      <c r="C2" s="89"/>
      <c r="D2" s="89"/>
      <c r="E2" s="89"/>
      <c r="F2" s="89"/>
      <c r="G2" s="89"/>
      <c r="H2" s="89"/>
    </row>
    <row r="3" spans="1:8" ht="12.75">
      <c r="A3" s="89"/>
      <c r="B3" s="89"/>
      <c r="C3" s="89"/>
      <c r="D3" s="89"/>
      <c r="E3" s="89"/>
      <c r="F3" s="89"/>
      <c r="G3" s="89"/>
      <c r="H3" s="89"/>
    </row>
    <row r="4" spans="1:8" ht="12.75">
      <c r="A4" s="88" t="str">
        <f>'F-1'!A4</f>
        <v>Company:  Utilities, Inc. of Florida (604-Oakland Shores)</v>
      </c>
      <c r="B4" s="89"/>
      <c r="C4" s="89"/>
      <c r="D4" s="89"/>
      <c r="E4" s="89"/>
      <c r="F4" s="89"/>
      <c r="G4" s="88" t="s">
        <v>60</v>
      </c>
      <c r="H4" s="89"/>
    </row>
    <row r="5" spans="1:8" ht="12.75">
      <c r="A5" s="88" t="str">
        <f>'F-1'!A5</f>
        <v>Docket No.:  </v>
      </c>
      <c r="B5" s="89"/>
      <c r="C5" s="89"/>
      <c r="D5" s="88" t="str">
        <f>'F-1'!C5</f>
        <v>060253-WS</v>
      </c>
      <c r="E5" s="89"/>
      <c r="F5" s="89"/>
      <c r="G5" s="88" t="s">
        <v>84</v>
      </c>
      <c r="H5" s="89"/>
    </row>
    <row r="6" spans="1:8" ht="12.75">
      <c r="A6" s="88" t="str">
        <f>'F-1'!A6</f>
        <v>Test Year Ended:  December 31, 2005</v>
      </c>
      <c r="B6" s="88"/>
      <c r="C6" s="90"/>
      <c r="D6" s="93"/>
      <c r="E6" s="89"/>
      <c r="F6" s="89"/>
      <c r="G6" s="88" t="str">
        <f>'F-1'!J5</f>
        <v>Preparer:  Seidman, F.</v>
      </c>
      <c r="H6" s="89"/>
    </row>
    <row r="7" spans="1:8" ht="12.75">
      <c r="A7" s="89"/>
      <c r="B7" s="89"/>
      <c r="C7" s="89"/>
      <c r="D7" s="89"/>
      <c r="E7" s="89"/>
      <c r="F7" s="89"/>
      <c r="G7" s="89"/>
      <c r="H7" s="89"/>
    </row>
    <row r="8" spans="1:8" ht="12.75">
      <c r="A8" s="88" t="s">
        <v>18</v>
      </c>
      <c r="B8" s="89"/>
      <c r="C8" s="89"/>
      <c r="D8" s="89"/>
      <c r="E8" s="89"/>
      <c r="F8" s="89"/>
      <c r="G8" s="89"/>
      <c r="H8" s="89"/>
    </row>
    <row r="9" spans="1:8" ht="12.75">
      <c r="A9" s="88" t="s">
        <v>61</v>
      </c>
      <c r="B9" s="89"/>
      <c r="C9" s="89"/>
      <c r="D9" s="89"/>
      <c r="E9" s="89"/>
      <c r="F9" s="89"/>
      <c r="G9" s="89"/>
      <c r="H9" s="89"/>
    </row>
    <row r="10" spans="1:8" ht="12.75">
      <c r="A10" s="88" t="s">
        <v>62</v>
      </c>
      <c r="B10" s="89"/>
      <c r="C10" s="89"/>
      <c r="D10" s="89"/>
      <c r="E10" s="89"/>
      <c r="F10" s="89"/>
      <c r="G10" s="89"/>
      <c r="H10" s="89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63</v>
      </c>
      <c r="G13"/>
      <c r="I13"/>
    </row>
    <row r="14" spans="1:9" ht="12">
      <c r="A14" s="1"/>
      <c r="I14" s="4"/>
    </row>
    <row r="15" ht="12.75"/>
    <row r="16" ht="12.75"/>
    <row r="17" ht="12.75"/>
    <row r="18" ht="12.75"/>
    <row r="19" spans="5:6" ht="12.75">
      <c r="E19" s="2"/>
      <c r="F19" s="43" t="s">
        <v>167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6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48">
      <selection activeCell="F48" sqref="F48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8" t="s">
        <v>15</v>
      </c>
      <c r="B1" s="89"/>
      <c r="C1" s="89"/>
      <c r="D1" s="89"/>
      <c r="E1" s="89"/>
      <c r="F1" s="89"/>
      <c r="G1" s="88" t="s">
        <v>81</v>
      </c>
      <c r="H1"/>
    </row>
    <row r="2" spans="1:8" ht="12.75">
      <c r="A2" s="88" t="s">
        <v>64</v>
      </c>
      <c r="B2" s="89"/>
      <c r="C2" s="89"/>
      <c r="D2" s="89"/>
      <c r="E2" s="89"/>
      <c r="F2" s="89"/>
      <c r="G2" s="89"/>
      <c r="H2"/>
    </row>
    <row r="3" spans="1:8" ht="12.75">
      <c r="A3" s="89"/>
      <c r="B3" s="89"/>
      <c r="C3" s="89"/>
      <c r="D3" s="89"/>
      <c r="E3" s="89"/>
      <c r="F3" s="89"/>
      <c r="G3" s="89"/>
      <c r="H3"/>
    </row>
    <row r="4" spans="1:8" ht="12.75">
      <c r="A4" s="88" t="str">
        <f>'F-1'!A4</f>
        <v>Company:  Utilities, Inc. of Florida (604-Oakland Shores)</v>
      </c>
      <c r="B4" s="89"/>
      <c r="C4" s="89"/>
      <c r="D4" s="89"/>
      <c r="E4" s="89"/>
      <c r="F4" s="89"/>
      <c r="G4" s="88" t="s">
        <v>65</v>
      </c>
      <c r="H4"/>
    </row>
    <row r="5" spans="1:8" ht="12.75">
      <c r="A5" s="88" t="str">
        <f>'F-1'!A5</f>
        <v>Docket No.:  </v>
      </c>
      <c r="B5" s="89"/>
      <c r="C5" s="88" t="str">
        <f>'F-1'!C5</f>
        <v>060253-WS</v>
      </c>
      <c r="D5" s="89"/>
      <c r="E5" s="89"/>
      <c r="F5" s="89"/>
      <c r="G5" s="88" t="s">
        <v>84</v>
      </c>
      <c r="H5"/>
    </row>
    <row r="6" spans="1:7" ht="12.75">
      <c r="A6" s="88" t="str">
        <f>'F-1'!A6</f>
        <v>Test Year Ended:  December 31, 2005</v>
      </c>
      <c r="B6" s="89"/>
      <c r="C6" s="93"/>
      <c r="D6" s="89"/>
      <c r="E6" s="89"/>
      <c r="F6" s="89"/>
      <c r="G6" s="88" t="str">
        <f>'F-1'!J5</f>
        <v>Preparer:  Seidman, F.</v>
      </c>
    </row>
    <row r="7" spans="1:7" ht="12.75">
      <c r="A7" s="89"/>
      <c r="B7" s="89"/>
      <c r="C7" s="89"/>
      <c r="D7" s="89"/>
      <c r="E7" s="89"/>
      <c r="F7" s="89"/>
      <c r="G7" s="89"/>
    </row>
    <row r="8" spans="1:7" ht="12.75">
      <c r="A8" s="88" t="s">
        <v>66</v>
      </c>
      <c r="B8" s="89"/>
      <c r="C8" s="89"/>
      <c r="D8" s="89"/>
      <c r="E8" s="89"/>
      <c r="F8" s="89"/>
      <c r="G8" s="89"/>
    </row>
    <row r="9" spans="1:7" ht="12.75">
      <c r="A9" s="88" t="s">
        <v>67</v>
      </c>
      <c r="B9" s="89"/>
      <c r="C9" s="89"/>
      <c r="D9" s="89"/>
      <c r="E9" s="89"/>
      <c r="F9" s="89"/>
      <c r="G9" s="89"/>
    </row>
    <row r="10" spans="1:7" ht="12.75">
      <c r="A10" s="88" t="s">
        <v>68</v>
      </c>
      <c r="B10" s="89"/>
      <c r="C10" s="89"/>
      <c r="D10" s="89"/>
      <c r="E10" s="89"/>
      <c r="F10" s="89"/>
      <c r="G10" s="89"/>
    </row>
    <row r="11" spans="1:7" ht="12.75">
      <c r="A11" s="88" t="s">
        <v>69</v>
      </c>
      <c r="B11" s="89"/>
      <c r="C11" s="89"/>
      <c r="D11" s="89"/>
      <c r="E11" s="89"/>
      <c r="F11" s="89"/>
      <c r="G11" s="89"/>
    </row>
    <row r="12" spans="1:7" ht="12.75">
      <c r="A12" s="88" t="s">
        <v>70</v>
      </c>
      <c r="B12" s="89"/>
      <c r="C12" s="89"/>
      <c r="D12" s="89"/>
      <c r="E12" s="89"/>
      <c r="F12" s="89"/>
      <c r="G12" s="89"/>
    </row>
    <row r="13" spans="1:7" ht="12.75">
      <c r="A13" s="88" t="s">
        <v>71</v>
      </c>
      <c r="B13" s="89"/>
      <c r="C13" s="89"/>
      <c r="D13" s="89"/>
      <c r="E13" s="89"/>
      <c r="F13" s="89"/>
      <c r="G13" s="89"/>
    </row>
    <row r="14" spans="1:7" ht="12.75">
      <c r="A14" s="88" t="s">
        <v>72</v>
      </c>
      <c r="B14" s="89"/>
      <c r="C14" s="89"/>
      <c r="D14" s="89"/>
      <c r="E14" s="89"/>
      <c r="F14" s="89"/>
      <c r="G14" s="89"/>
    </row>
    <row r="15" spans="1:10" ht="12">
      <c r="A15" s="4" t="s">
        <v>89</v>
      </c>
      <c r="B15" s="4" t="s">
        <v>89</v>
      </c>
      <c r="C15" s="4" t="s">
        <v>89</v>
      </c>
      <c r="D15" s="4" t="s">
        <v>89</v>
      </c>
      <c r="E15" s="4" t="s">
        <v>89</v>
      </c>
      <c r="F15" s="4" t="s">
        <v>89</v>
      </c>
      <c r="G15" s="4" t="s">
        <v>89</v>
      </c>
      <c r="H15" s="4" t="s">
        <v>89</v>
      </c>
      <c r="I15" s="4" t="s">
        <v>89</v>
      </c>
      <c r="J15" s="4" t="s">
        <v>89</v>
      </c>
    </row>
    <row r="17" spans="1:9" ht="12.75">
      <c r="A17" s="1" t="s">
        <v>73</v>
      </c>
      <c r="G17" s="47"/>
      <c r="H17" s="47"/>
      <c r="I17"/>
    </row>
    <row r="19" ht="12.75"/>
    <row r="20" ht="12.75"/>
    <row r="21" ht="12.75">
      <c r="B21" s="70" t="s">
        <v>186</v>
      </c>
    </row>
    <row r="22" ht="12.75">
      <c r="B22" s="44" t="s">
        <v>215</v>
      </c>
    </row>
    <row r="23" ht="12.75">
      <c r="B23" s="44" t="s">
        <v>187</v>
      </c>
    </row>
    <row r="24" ht="12.75">
      <c r="B24" s="44" t="s">
        <v>188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24">
      <c r="F48" s="86"/>
    </row>
    <row r="49" ht="12.75"/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47">
      <selection activeCell="F49" sqref="F49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8" t="s">
        <v>74</v>
      </c>
      <c r="B1" s="89"/>
      <c r="C1" s="89"/>
      <c r="D1" s="89"/>
      <c r="E1" s="89"/>
      <c r="F1" s="89"/>
      <c r="G1" s="89"/>
      <c r="H1" s="88" t="s">
        <v>81</v>
      </c>
    </row>
    <row r="2" spans="1:8" ht="12.75">
      <c r="A2" s="89"/>
      <c r="B2" s="89"/>
      <c r="C2" s="89"/>
      <c r="D2" s="89"/>
      <c r="E2" s="89"/>
      <c r="F2" s="89"/>
      <c r="G2" s="89"/>
      <c r="H2" s="89"/>
    </row>
    <row r="3" spans="1:8" ht="12.75">
      <c r="A3" s="88" t="str">
        <f>'F-1'!A4</f>
        <v>Company:  Utilities, Inc. of Florida (604-Oakland Shores)</v>
      </c>
      <c r="B3" s="89"/>
      <c r="C3" s="89"/>
      <c r="D3" s="89"/>
      <c r="E3" s="89"/>
      <c r="F3" s="89"/>
      <c r="G3" s="89"/>
      <c r="H3" s="88" t="s">
        <v>75</v>
      </c>
    </row>
    <row r="4" spans="1:8" ht="12.75">
      <c r="A4" s="88" t="str">
        <f>'F-1'!A5</f>
        <v>Docket No.:  </v>
      </c>
      <c r="B4" s="89"/>
      <c r="C4" s="88" t="str">
        <f>'F-1'!C5</f>
        <v>060253-WS</v>
      </c>
      <c r="D4" s="89"/>
      <c r="E4" s="89"/>
      <c r="F4" s="89"/>
      <c r="G4" s="89"/>
      <c r="H4" s="88" t="s">
        <v>84</v>
      </c>
    </row>
    <row r="5" spans="1:8" ht="12.75">
      <c r="A5" s="88" t="str">
        <f>'F-1'!A6</f>
        <v>Test Year Ended:  December 31, 2005</v>
      </c>
      <c r="B5" s="89"/>
      <c r="C5" s="90"/>
      <c r="D5" s="89"/>
      <c r="E5" s="89"/>
      <c r="F5" s="89"/>
      <c r="G5" s="89"/>
      <c r="H5" s="88" t="str">
        <f>'F-1'!J5</f>
        <v>Preparer:  Seidman, F.</v>
      </c>
    </row>
    <row r="6" spans="1:8" ht="12.75">
      <c r="A6" s="89"/>
      <c r="B6" s="89"/>
      <c r="C6" s="89"/>
      <c r="D6" s="89"/>
      <c r="E6" s="89"/>
      <c r="F6" s="89"/>
      <c r="G6" s="89"/>
      <c r="H6" s="89"/>
    </row>
    <row r="7" spans="1:8" ht="12.75">
      <c r="A7" s="88" t="s">
        <v>76</v>
      </c>
      <c r="B7" s="89"/>
      <c r="C7" s="89"/>
      <c r="D7" s="89"/>
      <c r="E7" s="89"/>
      <c r="F7" s="89"/>
      <c r="G7" s="89"/>
      <c r="H7" s="89"/>
    </row>
    <row r="8" spans="1:8" ht="12.75">
      <c r="A8" s="88" t="s">
        <v>77</v>
      </c>
      <c r="B8" s="89"/>
      <c r="C8" s="89"/>
      <c r="D8" s="89"/>
      <c r="E8" s="89"/>
      <c r="F8" s="89"/>
      <c r="G8" s="89"/>
      <c r="H8" s="89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78</v>
      </c>
      <c r="G12"/>
      <c r="I12" s="49"/>
    </row>
    <row r="15" ht="12.75"/>
    <row r="16" ht="12.75"/>
    <row r="17" ht="12.75"/>
    <row r="18" ht="12.75">
      <c r="C18" t="s">
        <v>209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4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9">
      <selection activeCell="Q35" sqref="Q35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8.125" style="2" customWidth="1"/>
    <col min="12" max="12" width="1.75390625" style="2" customWidth="1"/>
    <col min="13" max="13" width="12.75390625" style="2" customWidth="1"/>
    <col min="14" max="14" width="1.75390625" style="2" customWidth="1"/>
    <col min="15" max="15" width="17.75390625" style="2" customWidth="1"/>
    <col min="16" max="16" width="5.25390625" style="2" customWidth="1"/>
    <col min="17" max="17" width="8.75390625" style="2" customWidth="1"/>
    <col min="18" max="18" width="1.75390625" style="2" customWidth="1"/>
    <col min="19" max="19" width="10.875" style="2" customWidth="1"/>
    <col min="20" max="205" width="8.75390625" style="2" customWidth="1"/>
    <col min="206" max="16384" width="10.75390625" style="2" customWidth="1"/>
  </cols>
  <sheetData>
    <row r="1" spans="1:16" ht="12.75">
      <c r="A1" s="88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8" t="s">
        <v>81</v>
      </c>
      <c r="N1" s="89"/>
      <c r="O1" s="89"/>
      <c r="P1" s="89"/>
    </row>
    <row r="2" spans="1:16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.75">
      <c r="A3" s="88" t="str">
        <f>'F-1'!A4</f>
        <v>Company:  Utilities, Inc. of Florida (604-Oakland Shores)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8" t="s">
        <v>23</v>
      </c>
      <c r="N3" s="89"/>
      <c r="O3" s="89"/>
      <c r="P3" s="89"/>
    </row>
    <row r="4" spans="1:16" ht="12.75">
      <c r="A4" s="88" t="str">
        <f>'F-1'!A5</f>
        <v>Docket No.:  </v>
      </c>
      <c r="B4" s="89"/>
      <c r="C4" s="89"/>
      <c r="D4" s="88" t="str">
        <f>'F-1'!C5</f>
        <v>060253-WS</v>
      </c>
      <c r="E4" s="89"/>
      <c r="F4" s="89"/>
      <c r="G4" s="89"/>
      <c r="H4" s="89"/>
      <c r="I4" s="89"/>
      <c r="J4" s="89"/>
      <c r="K4" s="89"/>
      <c r="L4" s="89"/>
      <c r="M4" s="88" t="s">
        <v>84</v>
      </c>
      <c r="N4" s="89"/>
      <c r="O4" s="89"/>
      <c r="P4" s="89"/>
    </row>
    <row r="5" spans="1:16" ht="12.75">
      <c r="A5" s="88" t="str">
        <f>'F-1'!A6</f>
        <v>Test Year Ended:  December 31, 2005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8" t="str">
        <f>'F-1'!J5</f>
        <v>Preparer:  Seidman, F.</v>
      </c>
      <c r="N5" s="89"/>
      <c r="O5" s="89"/>
      <c r="P5" s="89"/>
    </row>
    <row r="6" spans="1:16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88" t="s">
        <v>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88" t="s">
        <v>26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99" t="s">
        <v>34</v>
      </c>
      <c r="F12" s="99"/>
      <c r="G12" s="99"/>
      <c r="H12" s="99"/>
      <c r="I12" s="99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2">
        <v>216</v>
      </c>
      <c r="F17" s="72"/>
      <c r="G17" s="72">
        <v>219</v>
      </c>
      <c r="H17" s="72"/>
      <c r="I17" s="72">
        <f>+(E17+G17)/2</f>
        <v>217.5</v>
      </c>
      <c r="J17" s="73"/>
      <c r="K17" s="72">
        <v>29750591</v>
      </c>
      <c r="L17" s="72"/>
      <c r="M17" s="72">
        <f>+K17/I17</f>
        <v>136784.32643678162</v>
      </c>
      <c r="N17" s="72"/>
      <c r="O17" s="72">
        <v>30184151</v>
      </c>
      <c r="P17" s="72"/>
      <c r="Q17" s="72">
        <f>+O17/M17</f>
        <v>220.6696614026928</v>
      </c>
      <c r="R17" s="74"/>
      <c r="S17" s="75"/>
    </row>
    <row r="18" spans="1:19" ht="15.75">
      <c r="A18" s="5"/>
      <c r="C18" s="5"/>
      <c r="E18" s="72"/>
      <c r="F18" s="72"/>
      <c r="G18" s="72"/>
      <c r="H18" s="72"/>
      <c r="I18" s="72"/>
      <c r="J18" s="73"/>
      <c r="K18" s="72"/>
      <c r="L18" s="72"/>
      <c r="M18" s="72"/>
      <c r="N18" s="72"/>
      <c r="O18" s="72"/>
      <c r="P18" s="72"/>
      <c r="Q18" s="72"/>
      <c r="R18" s="74"/>
      <c r="S18" s="75"/>
    </row>
    <row r="19" spans="1:19" ht="16.5">
      <c r="A19" s="5">
        <v>2</v>
      </c>
      <c r="C19" s="5">
        <v>2002</v>
      </c>
      <c r="E19" s="72">
        <f>G17</f>
        <v>219</v>
      </c>
      <c r="F19" s="72"/>
      <c r="G19" s="72">
        <v>213</v>
      </c>
      <c r="H19" s="76"/>
      <c r="I19" s="72">
        <f>+(E19+G19)/2</f>
        <v>216</v>
      </c>
      <c r="J19" s="73"/>
      <c r="K19" s="72">
        <v>29070580</v>
      </c>
      <c r="L19" s="72"/>
      <c r="M19" s="72">
        <f>+K19/I19</f>
        <v>134586.0185185185</v>
      </c>
      <c r="N19" s="72"/>
      <c r="O19" s="72">
        <v>29579980</v>
      </c>
      <c r="P19" s="72"/>
      <c r="Q19" s="72">
        <f>+O19/M19</f>
        <v>219.78493996335817</v>
      </c>
      <c r="R19" s="74"/>
      <c r="S19" s="75">
        <f>+(Q19/Q17)-1</f>
        <v>-0.004009257247738041</v>
      </c>
    </row>
    <row r="20" spans="1:19" ht="15.75">
      <c r="A20" s="5"/>
      <c r="C20" s="5"/>
      <c r="E20" s="72"/>
      <c r="F20" s="72"/>
      <c r="G20" s="72"/>
      <c r="H20" s="72"/>
      <c r="I20" s="72"/>
      <c r="J20" s="73"/>
      <c r="K20" s="72"/>
      <c r="L20" s="72"/>
      <c r="M20" s="72"/>
      <c r="N20" s="72"/>
      <c r="O20" s="72"/>
      <c r="P20" s="72"/>
      <c r="Q20" s="72"/>
      <c r="R20" s="74"/>
      <c r="S20" s="75"/>
    </row>
    <row r="21" spans="1:19" ht="15.75">
      <c r="A21" s="5">
        <v>3</v>
      </c>
      <c r="C21" s="5">
        <v>2003</v>
      </c>
      <c r="E21" s="72">
        <f>G19</f>
        <v>213</v>
      </c>
      <c r="F21" s="72"/>
      <c r="G21" s="72">
        <v>219</v>
      </c>
      <c r="H21" s="72"/>
      <c r="I21" s="72">
        <f>+(E21+G21)/2</f>
        <v>216</v>
      </c>
      <c r="J21" s="73"/>
      <c r="K21" s="72">
        <v>28207550</v>
      </c>
      <c r="L21" s="72"/>
      <c r="M21" s="72">
        <f>+K21/I21</f>
        <v>130590.50925925926</v>
      </c>
      <c r="N21" s="72"/>
      <c r="O21" s="72">
        <v>28720740</v>
      </c>
      <c r="P21" s="72"/>
      <c r="Q21" s="72">
        <f>+O21/M21</f>
        <v>219.92976490336807</v>
      </c>
      <c r="R21" s="74"/>
      <c r="S21" s="75">
        <f>+(Q21/Q19)-1</f>
        <v>0.000658939325115071</v>
      </c>
    </row>
    <row r="22" spans="1:19" ht="15.75">
      <c r="A22" s="5"/>
      <c r="C22" s="5"/>
      <c r="E22" s="72"/>
      <c r="F22" s="72"/>
      <c r="G22" s="72"/>
      <c r="H22" s="72"/>
      <c r="I22" s="72"/>
      <c r="J22" s="73"/>
      <c r="K22" s="72"/>
      <c r="L22" s="72"/>
      <c r="M22" s="72"/>
      <c r="N22" s="72"/>
      <c r="O22" s="72"/>
      <c r="P22" s="72"/>
      <c r="Q22" s="72"/>
      <c r="R22" s="74"/>
      <c r="S22" s="75"/>
    </row>
    <row r="23" spans="1:19" ht="15.75">
      <c r="A23" s="5">
        <v>4</v>
      </c>
      <c r="C23" s="5">
        <v>2004</v>
      </c>
      <c r="E23" s="72">
        <f>G21</f>
        <v>219</v>
      </c>
      <c r="F23" s="72"/>
      <c r="G23" s="72">
        <v>217</v>
      </c>
      <c r="H23" s="72"/>
      <c r="I23" s="72">
        <f>+(E23+G23)/2</f>
        <v>218</v>
      </c>
      <c r="J23" s="73"/>
      <c r="K23" s="72">
        <v>31886211</v>
      </c>
      <c r="L23" s="72"/>
      <c r="M23" s="72">
        <f>+K23/I23</f>
        <v>146267.02293577982</v>
      </c>
      <c r="N23" s="72"/>
      <c r="O23" s="72">
        <v>32485621</v>
      </c>
      <c r="P23" s="72"/>
      <c r="Q23" s="72">
        <f>+O23/M23</f>
        <v>222.09805291698032</v>
      </c>
      <c r="R23" s="74"/>
      <c r="S23" s="75">
        <f>+(Q23/Q21)-1</f>
        <v>0.009859002098078662</v>
      </c>
    </row>
    <row r="24" spans="1:19" ht="15.75">
      <c r="A24" s="5"/>
      <c r="C24" s="5"/>
      <c r="E24" s="72"/>
      <c r="F24" s="72"/>
      <c r="G24" s="72"/>
      <c r="H24" s="72"/>
      <c r="I24" s="72"/>
      <c r="J24" s="73"/>
      <c r="K24" s="72"/>
      <c r="L24" s="72"/>
      <c r="M24" s="72"/>
      <c r="N24" s="72"/>
      <c r="O24" s="72"/>
      <c r="P24" s="72"/>
      <c r="Q24" s="72"/>
      <c r="R24" s="74"/>
      <c r="S24" s="75"/>
    </row>
    <row r="25" spans="1:19" ht="15.75">
      <c r="A25" s="5">
        <v>5</v>
      </c>
      <c r="C25" s="5">
        <v>2005</v>
      </c>
      <c r="E25" s="72">
        <f>G23</f>
        <v>217</v>
      </c>
      <c r="F25" s="72"/>
      <c r="G25" s="72">
        <v>209</v>
      </c>
      <c r="H25" s="72"/>
      <c r="I25" s="72">
        <f>+(E25+G25)/2</f>
        <v>213</v>
      </c>
      <c r="J25" s="73"/>
      <c r="K25" s="72">
        <v>25929477</v>
      </c>
      <c r="L25" s="72"/>
      <c r="M25" s="72">
        <f>+K25/I25</f>
        <v>121734.6338028169</v>
      </c>
      <c r="N25" s="72"/>
      <c r="O25" s="72">
        <v>27547847</v>
      </c>
      <c r="P25" s="72"/>
      <c r="Q25" s="72">
        <f>+O25/M25</f>
        <v>226.29424461588638</v>
      </c>
      <c r="R25" s="74"/>
      <c r="S25" s="75">
        <f>+(Q25/Q23)-1</f>
        <v>0.018893419567593384</v>
      </c>
    </row>
    <row r="26" spans="1:19" ht="16.5" thickBot="1">
      <c r="A26" s="5"/>
      <c r="E26" s="77"/>
      <c r="F26" s="77"/>
      <c r="G26" s="77"/>
      <c r="H26" s="77"/>
      <c r="I26" s="77"/>
      <c r="J26" s="77"/>
      <c r="K26" s="74"/>
      <c r="L26" s="74"/>
      <c r="M26" s="74"/>
      <c r="N26" s="74"/>
      <c r="O26" s="78" t="s">
        <v>49</v>
      </c>
      <c r="P26" s="74"/>
      <c r="Q26" s="74"/>
      <c r="R26" s="74"/>
      <c r="S26" s="79">
        <f>AVERAGE(S19:S25)</f>
        <v>0.006350525935762269</v>
      </c>
    </row>
    <row r="27" spans="5:19" ht="16.5" thickTop="1"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5:19" ht="15.75">
      <c r="E28" s="77"/>
      <c r="F28" s="77"/>
      <c r="G28" s="77"/>
      <c r="H28" s="77" t="s">
        <v>192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0"/>
    </row>
    <row r="29" spans="3:19" ht="15.75">
      <c r="C29" s="4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1" t="s">
        <v>193</v>
      </c>
      <c r="Q29" s="82" t="s">
        <v>194</v>
      </c>
      <c r="R29" s="77"/>
      <c r="S29" s="77"/>
    </row>
    <row r="30" spans="3:19" ht="15.75">
      <c r="C30" s="46"/>
      <c r="E30" s="77"/>
      <c r="F30" s="77"/>
      <c r="G30" s="77"/>
      <c r="H30" s="77"/>
      <c r="I30" s="77"/>
      <c r="J30" s="77" t="s">
        <v>195</v>
      </c>
      <c r="K30" s="77"/>
      <c r="L30" s="77"/>
      <c r="M30" s="77">
        <f>INTERCEPT(Q30:Q34,P30:P34)</f>
        <v>217.6866489464543</v>
      </c>
      <c r="N30" s="77"/>
      <c r="O30" s="74"/>
      <c r="P30" s="77">
        <v>1</v>
      </c>
      <c r="Q30" s="72">
        <f>+Q17</f>
        <v>220.6696614026928</v>
      </c>
      <c r="R30" s="77"/>
      <c r="S30" s="77"/>
    </row>
    <row r="31" spans="3:19" ht="15.75">
      <c r="C31" s="46"/>
      <c r="E31" s="77"/>
      <c r="F31" s="77"/>
      <c r="G31" s="77"/>
      <c r="H31" s="77"/>
      <c r="I31" s="77"/>
      <c r="J31" s="77" t="s">
        <v>196</v>
      </c>
      <c r="K31" s="77"/>
      <c r="L31" s="77"/>
      <c r="M31" s="77">
        <f>SLOPE(Q30:Q34,P30:P34)</f>
        <v>1.3562279380009568</v>
      </c>
      <c r="N31" s="77"/>
      <c r="O31" s="77"/>
      <c r="P31" s="77">
        <v>2</v>
      </c>
      <c r="Q31" s="72">
        <f>+Q19</f>
        <v>219.78493996335817</v>
      </c>
      <c r="R31" s="77"/>
      <c r="S31" s="77"/>
    </row>
    <row r="32" spans="5:19" ht="15.75">
      <c r="E32" s="77"/>
      <c r="F32" s="77"/>
      <c r="G32" s="77"/>
      <c r="H32" s="77"/>
      <c r="I32" s="77"/>
      <c r="J32" s="77" t="s">
        <v>197</v>
      </c>
      <c r="K32" s="77"/>
      <c r="L32" s="77"/>
      <c r="M32" s="77">
        <f>RSQ(Q30:Q34,P30:P34)</f>
        <v>0.6317981108502712</v>
      </c>
      <c r="N32" s="77"/>
      <c r="O32" s="77"/>
      <c r="P32" s="77">
        <v>3</v>
      </c>
      <c r="Q32" s="72">
        <f>+Q21</f>
        <v>219.92976490336807</v>
      </c>
      <c r="R32" s="77"/>
      <c r="S32" s="77"/>
    </row>
    <row r="33" spans="1:19" ht="15.75">
      <c r="A33" s="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>
        <v>4</v>
      </c>
      <c r="Q33" s="72">
        <f>+Q23</f>
        <v>222.09805291698032</v>
      </c>
      <c r="R33" s="77"/>
      <c r="S33" s="77"/>
    </row>
    <row r="34" spans="1:19" ht="15.75">
      <c r="A34" s="1"/>
      <c r="E34" s="77"/>
      <c r="F34" s="77"/>
      <c r="G34" s="77"/>
      <c r="H34" s="77"/>
      <c r="I34" s="77"/>
      <c r="J34" s="77"/>
      <c r="K34" s="77"/>
      <c r="L34" s="77"/>
      <c r="M34" s="83"/>
      <c r="N34" s="77"/>
      <c r="O34" s="77"/>
      <c r="P34" s="77">
        <v>5</v>
      </c>
      <c r="Q34" s="72">
        <f>+Q25</f>
        <v>226.29424461588638</v>
      </c>
      <c r="R34" s="77"/>
      <c r="S34" s="77"/>
    </row>
    <row r="35" spans="1:17" ht="15.75">
      <c r="A35" s="1"/>
      <c r="M35" s="1"/>
      <c r="P35" s="77">
        <v>10</v>
      </c>
      <c r="Q35" s="72">
        <f>M30+M31*P35</f>
        <v>231.24892832646387</v>
      </c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7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2006-09-11T02:16:15Z</cp:lastPrinted>
  <dcterms:created xsi:type="dcterms:W3CDTF">2002-03-03T13:21:17Z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