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2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'F-10'!$A$1:$O$36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'F-5'!$A$1:$J$69</definedName>
    <definedName name="F_6">'F-6'!$A$1:$I$49</definedName>
    <definedName name="F_7">'F-7'!$A$1:$J$49</definedName>
    <definedName name="F_8">'F-8'!$A$1:$L$49</definedName>
    <definedName name="F_9">'F-9'!$A$1:$S$53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'F-5'!$A$52:$K$66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'F-5'!$A$1:$J$66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'F-5'!$A$67:$J$108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'F-5'!$A$67:$J$108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'F-1'!$A$1:$M$35</definedName>
    <definedName name="_xlnm.Print_Area" localSheetId="9">'F-10'!$A$1:$S$34</definedName>
    <definedName name="_xlnm.Print_Area" localSheetId="1">'F-2'!$A$1:$N$35</definedName>
    <definedName name="_xlnm.Print_Area" localSheetId="2">'F-3'!$A$1:$K$37</definedName>
    <definedName name="_xlnm.Print_Area" localSheetId="3">'F-4'!$A$1:$L$25</definedName>
    <definedName name="_xlnm.Print_Area" localSheetId="4">'F-5'!$A$1:$J$64</definedName>
    <definedName name="_xlnm.Print_Area" localSheetId="5">'F-6'!$A$1:$I$19</definedName>
    <definedName name="_xlnm.Print_Area" localSheetId="6">'F-7'!$A$1:$J$24</definedName>
    <definedName name="_xlnm.Print_Area" localSheetId="7">'F-8'!$A$1:$L$26</definedName>
    <definedName name="_xlnm.Print_Area" localSheetId="8">'F-9'!$A$1:$S$43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'F-5'!$A$31:$K$50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'F-3'!$A$1:$M$52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<sst xmlns="http://schemas.openxmlformats.org/spreadsheetml/2006/main" count="451" uniqueCount="224">
  <si>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</si>
  <si>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</si>
  <si>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</si>
  <si>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</si>
  <si>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</si>
  <si>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</si>
  <si>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</si>
  <si>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</si>
  <si>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</si>
  <si>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</si>
  <si>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</si>
  <si>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</si>
  <si>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</si>
  <si>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</si>
  <si>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</si>
  <si>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</si>
  <si>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</si>
  <si>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</si>
  <si>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</si>
  <si>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</si>
  <si>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</si>
  <si>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</si>
  <si>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</si>
  <si>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</si>
  <si>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</si>
  <si>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</si>
  <si>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</si>
  <si>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</si>
  <si>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</si>
  <si>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</si>
  <si>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</si>
  <si>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</si>
  <si>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</si>
  <si>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</si>
  <si>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</si>
  <si>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</si>
  <si>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</si>
  <si>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</si>
  <si>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</si>
  <si>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</si>
  <si>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</si>
  <si>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</si>
  <si>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</si>
  <si>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</si>
  <si>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</si>
  <si>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</si>
  <si>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</si>
  <si>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</si>
  <si>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</si>
  <si>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</si>
  <si>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</si>
  <si>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</si>
  <si>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</si>
  <si>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</si>
  <si>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</si>
  <si>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</si>
  <si>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</si>
  <si>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</si>
  <si>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</si>
  <si>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</si>
  <si>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</si>
  <si>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</si>
  <si>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</si>
  <si>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</si>
  <si>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</si>
  <si>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</si>
  <si>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</si>
  <si>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</si>
  <si>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</si>
  <si>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</si>
  <si>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</si>
  <si>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</si>
  <si>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</si>
  <si>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</si>
  <si>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</si>
  <si>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</si>
  <si>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</si>
  <si>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</si>
  <si>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</si>
  <si>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</si>
  <si>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</si>
  <si>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</si>
  <si>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</si>
  <si>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</si>
  <si>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</si>
  <si>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</si>
  <si>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</si>
  <si>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</si>
  <si>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</si>
  <si>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</si>
  <si>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</si>
  <si>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</si>
  <si>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</si>
  <si>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</si>
  <si>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</si>
  <si>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</si>
  <si>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</si>
  <si>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</si>
  <si>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</si>
  <si>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</si>
  <si>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</si>
  <si>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</si>
  <si>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</si>
  <si>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</si>
  <si>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</si>
  <si>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</si>
  <si>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</si>
  <si>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</si>
  <si>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(626-Summertree)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</si>
  <si>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</si>
  <si>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</si>
  <si>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</si>
  <si>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</si>
  <si>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</si>
  <si>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</si>
  <si>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</si>
  <si>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</si>
  <si>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</si>
  <si>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</si>
  <si>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</si>
  <si>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</si>
  <si>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</si>
  <si>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</si>
  <si>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</si>
  <si>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</si>
  <si>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</si>
  <si>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</si>
  <si>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</si>
  <si>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>Preparer:  Seidman, F.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</si>
  <si>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</si>
  <si>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</si>
  <si>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</si>
  <si>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</si>
  <si>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</si>
  <si>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</si>
  <si>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</si>
  <si>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</si>
  <si>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</si>
  <si>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</si>
  <si>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</si>
  <si>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</si>
  <si>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</si>
  <si>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</si>
  <si>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</si>
  <si>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</si>
  <si>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</si>
  <si>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</si>
  <si>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</si>
  <si>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</si>
  <si>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</si>
  <si>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Peak demand</t>
  </si>
  <si>
    <t>B =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</si>
  <si>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</si>
  <si>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</si>
  <si>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</si>
  <si>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</si>
  <si>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</si>
  <si>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</si>
  <si>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</si>
  <si>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Max Month</t>
  </si>
  <si>
    <t>(Above data in millions of gallons)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</si>
  <si>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</si>
  <si>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</si>
  <si>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>ating reports (MORs) sent to the Department of Environmental Protection.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</si>
  <si>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</si>
  <si>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</si>
  <si>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</si>
  <si>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</si>
  <si>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Not Applicable - all wastewater treatment purchased</t>
  </si>
  <si>
    <t>from the monthly operating reports (MORs) sent to the Department of Environmental Protection.</t>
  </si>
  <si>
    <t xml:space="preserve">no high service pumping.  All demands must be met by well pumping capacity. Used and useful is </t>
  </si>
  <si>
    <t>Used &amp; Useful Analysis:</t>
  </si>
  <si>
    <t>A =</t>
  </si>
  <si>
    <t>Percent Used &amp; Useful = (A + B + C - D)/E x 100%, where:</t>
  </si>
  <si>
    <t>This system treats water by simple chlorination. The only storage is in hydropneumatic tanks and there is</t>
  </si>
  <si>
    <t>as well as the land, structures and distribution reservoir accounts.</t>
  </si>
  <si>
    <t>PN = EG x PT x U</t>
  </si>
  <si>
    <t>where:</t>
  </si>
  <si>
    <t xml:space="preserve">EG = </t>
  </si>
  <si>
    <t>Equivalent annual growth in ERCs</t>
  </si>
  <si>
    <t>PT =</t>
  </si>
  <si>
    <t>U =</t>
  </si>
  <si>
    <t>Property needed expressed in U units</t>
  </si>
  <si>
    <t>Unit of measure utilized in U&amp;U calculations.</t>
  </si>
  <si>
    <t>Post test year period per statute</t>
  </si>
  <si>
    <t>yrs</t>
  </si>
  <si>
    <t>PN =</t>
  </si>
  <si>
    <t>In Docket No. 910020-WS, the wastewater interconnection was determined to be 100%</t>
  </si>
  <si>
    <t>Wastewater treatment &amp; disposal services purchased from Pasco County</t>
  </si>
  <si>
    <t>1,000 gpm for 2 hours</t>
  </si>
  <si>
    <t>1000 gpm for 2 hours</t>
  </si>
  <si>
    <t>(Mixed single family, multi-family)</t>
  </si>
  <si>
    <t>were last addressed in Docket No. 910020-WS. At that time, the existing system was built out, and the water</t>
  </si>
  <si>
    <t>treatment &amp; related facilities were found by Staff to be 100% used &amp; useful.  Since then, new area have been</t>
  </si>
  <si>
    <t>opened for development. In Docket No. 910020-WS, 500 gpm was allowed for fire flow, based on all development</t>
  </si>
  <si>
    <t>should be increased to 1,000 gpm.</t>
  </si>
  <si>
    <t>being single family residences. Some of the new area includes multi-family units, therefore the fire flow allowance</t>
  </si>
  <si>
    <t>contributed, therefore, a used &amp; useful adjustment is not necessary in this proceeding.</t>
  </si>
  <si>
    <t>Water Treatment &amp; Related Facilities</t>
  </si>
  <si>
    <t>Water Distribution and Wastewater Collection Systems</t>
  </si>
  <si>
    <t>Sewer Sales</t>
  </si>
  <si>
    <t>I&amp;I</t>
  </si>
  <si>
    <t>allowed last case</t>
  </si>
  <si>
    <t>X</t>
  </si>
  <si>
    <t>Y</t>
  </si>
  <si>
    <t>Regression Analysis per Rule 25-30.431(2)(C)</t>
  </si>
  <si>
    <t>Constant:</t>
  </si>
  <si>
    <t>R^2:</t>
  </si>
  <si>
    <t>X Coefficient:</t>
  </si>
  <si>
    <t>Property needed to serve five years after TY (From Sch. F-8)</t>
  </si>
  <si>
    <t>Test Year Ended:  December 31, 2005</t>
  </si>
  <si>
    <t>Five year growth</t>
  </si>
  <si>
    <t>Annual average</t>
  </si>
  <si>
    <t xml:space="preserve">Used &amp; useful was last addressed for this system in Docket No. 020071-WS. </t>
  </si>
  <si>
    <t>therefore determined on the basis of instantaneous demand using peak hour demand as a proxy. For this</t>
  </si>
  <si>
    <t xml:space="preserve">system all components are considered together for purposes of determining used &amp; useful.  </t>
  </si>
  <si>
    <t>or</t>
  </si>
  <si>
    <t>gpm/ERC *</t>
  </si>
  <si>
    <t>* Based on 2005 Peak Hour Demand (Sch. F-5) divided by 2005 ERCs (Sch. F-10)</t>
  </si>
  <si>
    <t>significant changes since those proceedings, other than an increase in customers.</t>
  </si>
  <si>
    <t>used &amp; useful. In Docket No. 020071-WS this conclusion was not disputed. There have been no</t>
  </si>
  <si>
    <t>In Docket No. 020071-WS, it was determined that all distribution and collection lines were contributed</t>
  </si>
  <si>
    <t>and, therefore, a used &amp; useful adjustment was not necessary. All lines added since then are also</t>
  </si>
  <si>
    <t>Docket No.: 0602353-WS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</si>
</sst>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#,##0.000"/>
    <numFmt numFmtId="177" formatCode="#,##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 horizontal="fill"/>
    </xf>
    <xf numFmtId="3" fontId="0" fillId="0" borderId="0" xfId="0" applyNumberFormat="1" applyAlignment="1">
      <alignment horizontal="center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7" fontId="0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0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fill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4" fontId="13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 wrapText="1"/>
    </xf>
    <xf numFmtId="0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6" sqref="A6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9" t="s">
        <v>74</v>
      </c>
      <c r="B1" s="90"/>
      <c r="C1" s="90"/>
      <c r="D1" s="90"/>
      <c r="E1" s="90"/>
      <c r="F1" s="90"/>
      <c r="G1" s="90"/>
      <c r="H1" s="90"/>
      <c r="I1" s="90"/>
      <c r="J1" s="89" t="s">
        <v>75</v>
      </c>
      <c r="K1" s="90"/>
    </row>
    <row r="2" spans="1:11" ht="12.75">
      <c r="A2" s="89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89" t="s">
        <v>77</v>
      </c>
      <c r="K3" s="90"/>
    </row>
    <row r="4" spans="1:11" ht="12.75">
      <c r="A4" s="89" t="s">
        <v>108</v>
      </c>
      <c r="B4" s="90"/>
      <c r="C4" s="90"/>
      <c r="D4" s="90"/>
      <c r="E4" s="90"/>
      <c r="F4" s="90"/>
      <c r="G4" s="90"/>
      <c r="H4" s="90"/>
      <c r="I4" s="90"/>
      <c r="J4" s="89" t="s">
        <v>78</v>
      </c>
      <c r="K4" s="90"/>
    </row>
    <row r="5" spans="1:11" ht="12.75">
      <c r="A5" s="89" t="s">
        <v>223</v>
      </c>
      <c r="B5" s="90"/>
      <c r="C5" s="90"/>
      <c r="D5" s="90"/>
      <c r="E5" s="90"/>
      <c r="F5" s="90"/>
      <c r="G5" s="90"/>
      <c r="H5" s="90"/>
      <c r="I5" s="90"/>
      <c r="J5" s="89" t="s">
        <v>128</v>
      </c>
      <c r="K5" s="90"/>
    </row>
    <row r="6" spans="1:11" ht="12.75">
      <c r="A6" s="89" t="s">
        <v>210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>
      <c r="A8" s="89" t="s">
        <v>79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2.75">
      <c r="A9" s="89" t="s">
        <v>161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89" t="s">
        <v>80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89" t="s">
        <v>81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2" ht="12.75">
      <c r="A12" s="89" t="s">
        <v>82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3"/>
    </row>
    <row r="13" spans="1:13" ht="12">
      <c r="A13" s="4" t="s">
        <v>83</v>
      </c>
      <c r="B13" s="4" t="s">
        <v>83</v>
      </c>
      <c r="C13" s="4" t="s">
        <v>83</v>
      </c>
      <c r="D13" s="4" t="s">
        <v>83</v>
      </c>
      <c r="E13" s="4" t="s">
        <v>83</v>
      </c>
      <c r="F13" s="4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M13" s="4" t="s">
        <v>83</v>
      </c>
    </row>
    <row r="14" spans="3:13" ht="12">
      <c r="C14" s="5" t="s">
        <v>84</v>
      </c>
      <c r="E14" s="5" t="s">
        <v>85</v>
      </c>
      <c r="G14" s="5" t="s">
        <v>86</v>
      </c>
      <c r="I14" s="5" t="s">
        <v>87</v>
      </c>
      <c r="K14" s="5" t="s">
        <v>88</v>
      </c>
      <c r="M14" s="5" t="s">
        <v>89</v>
      </c>
    </row>
    <row r="15" spans="11:13" ht="12">
      <c r="K15" s="5" t="s">
        <v>90</v>
      </c>
      <c r="M15" s="5" t="s">
        <v>91</v>
      </c>
    </row>
    <row r="16" spans="1:13" ht="12">
      <c r="A16" s="5" t="s">
        <v>92</v>
      </c>
      <c r="C16" s="5" t="s">
        <v>93</v>
      </c>
      <c r="E16" s="5" t="s">
        <v>94</v>
      </c>
      <c r="G16" s="5" t="s">
        <v>94</v>
      </c>
      <c r="I16" s="5" t="s">
        <v>95</v>
      </c>
      <c r="K16" s="5" t="s">
        <v>96</v>
      </c>
      <c r="M16" s="5" t="s">
        <v>90</v>
      </c>
    </row>
    <row r="17" spans="1:13" ht="12">
      <c r="A17" s="5" t="s">
        <v>97</v>
      </c>
      <c r="C17" s="5" t="s">
        <v>98</v>
      </c>
      <c r="E17" s="5" t="s">
        <v>99</v>
      </c>
      <c r="G17" s="5" t="s">
        <v>100</v>
      </c>
      <c r="I17" s="5" t="s">
        <v>101</v>
      </c>
      <c r="K17" s="5" t="s">
        <v>102</v>
      </c>
      <c r="M17" s="5" t="s">
        <v>96</v>
      </c>
    </row>
    <row r="18" spans="1:13" ht="12">
      <c r="A18" s="4" t="s">
        <v>83</v>
      </c>
      <c r="C18" s="4" t="s">
        <v>83</v>
      </c>
      <c r="E18" s="4" t="s">
        <v>83</v>
      </c>
      <c r="G18" s="4" t="s">
        <v>83</v>
      </c>
      <c r="I18" s="4" t="s">
        <v>83</v>
      </c>
      <c r="K18" s="4" t="s">
        <v>83</v>
      </c>
      <c r="M18" s="4" t="s">
        <v>83</v>
      </c>
    </row>
    <row r="19" spans="1:13" ht="12">
      <c r="A19" s="12">
        <v>38353</v>
      </c>
      <c r="C19" s="2">
        <v>4.935</v>
      </c>
      <c r="E19" s="2">
        <v>0</v>
      </c>
      <c r="G19" s="13">
        <v>4.683</v>
      </c>
      <c r="I19" s="13">
        <v>0.23</v>
      </c>
      <c r="K19" s="13">
        <f aca="true" t="shared" si="0" ref="K19:K30">C19+E19-G19-I19</f>
        <v>0.02199999999999977</v>
      </c>
      <c r="L19" s="6"/>
      <c r="M19" s="14">
        <f aca="true" t="shared" si="1" ref="M19:M30">K19/C19</f>
        <v>0.004457953394123561</v>
      </c>
    </row>
    <row r="20" spans="1:13" ht="12">
      <c r="A20" s="12">
        <v>38384</v>
      </c>
      <c r="C20" s="2">
        <v>5.433</v>
      </c>
      <c r="E20" s="2">
        <v>0</v>
      </c>
      <c r="G20" s="13">
        <v>4.9358</v>
      </c>
      <c r="I20" s="13">
        <v>0.164</v>
      </c>
      <c r="K20" s="13">
        <f t="shared" si="0"/>
        <v>0.3331999999999994</v>
      </c>
      <c r="L20" s="6"/>
      <c r="M20" s="14">
        <f t="shared" si="1"/>
        <v>0.061328915884409974</v>
      </c>
    </row>
    <row r="21" spans="1:13" ht="12">
      <c r="A21" s="12">
        <v>38412</v>
      </c>
      <c r="C21" s="2">
        <v>5.258</v>
      </c>
      <c r="E21" s="2">
        <v>0</v>
      </c>
      <c r="G21" s="13">
        <v>3.8956</v>
      </c>
      <c r="I21" s="13">
        <v>0.437</v>
      </c>
      <c r="K21" s="13">
        <f t="shared" si="0"/>
        <v>0.9254</v>
      </c>
      <c r="L21" s="6"/>
      <c r="M21" s="14">
        <f t="shared" si="1"/>
        <v>0.17599847850893877</v>
      </c>
    </row>
    <row r="22" spans="1:13" ht="12">
      <c r="A22" s="12">
        <v>38443</v>
      </c>
      <c r="C22" s="2">
        <v>7.311</v>
      </c>
      <c r="E22" s="2">
        <v>0</v>
      </c>
      <c r="G22" s="13">
        <v>6.038</v>
      </c>
      <c r="I22" s="13">
        <v>0.489</v>
      </c>
      <c r="K22" s="13">
        <f t="shared" si="0"/>
        <v>0.7839999999999997</v>
      </c>
      <c r="L22" s="6"/>
      <c r="M22" s="14">
        <f t="shared" si="1"/>
        <v>0.1072356722746546</v>
      </c>
    </row>
    <row r="23" spans="1:13" ht="12">
      <c r="A23" s="12">
        <v>38473</v>
      </c>
      <c r="C23" s="2">
        <v>8.275</v>
      </c>
      <c r="E23" s="2">
        <v>0</v>
      </c>
      <c r="G23" s="13">
        <v>6.331</v>
      </c>
      <c r="I23" s="13">
        <v>0.587</v>
      </c>
      <c r="K23" s="13">
        <f t="shared" si="0"/>
        <v>1.357</v>
      </c>
      <c r="L23" s="6"/>
      <c r="M23" s="14">
        <f t="shared" si="1"/>
        <v>0.16398791540785498</v>
      </c>
    </row>
    <row r="24" spans="1:13" ht="12">
      <c r="A24" s="12">
        <v>38504</v>
      </c>
      <c r="C24" s="13">
        <v>5.065</v>
      </c>
      <c r="E24" s="2">
        <v>0</v>
      </c>
      <c r="G24" s="13">
        <v>4.7418</v>
      </c>
      <c r="I24" s="13">
        <v>0.858</v>
      </c>
      <c r="K24" s="13">
        <f t="shared" si="0"/>
        <v>-0.5347999999999992</v>
      </c>
      <c r="L24" s="6"/>
      <c r="M24" s="14">
        <f t="shared" si="1"/>
        <v>-0.10558736426456054</v>
      </c>
    </row>
    <row r="25" spans="1:13" ht="12">
      <c r="A25" s="12">
        <v>38534</v>
      </c>
      <c r="C25" s="2">
        <v>4.113</v>
      </c>
      <c r="E25" s="2">
        <v>0</v>
      </c>
      <c r="G25" s="13">
        <v>2.7021</v>
      </c>
      <c r="I25" s="13">
        <v>0.629</v>
      </c>
      <c r="K25" s="13">
        <f t="shared" si="0"/>
        <v>0.7819000000000003</v>
      </c>
      <c r="L25" s="6"/>
      <c r="M25" s="14">
        <f t="shared" si="1"/>
        <v>0.19010454655968884</v>
      </c>
    </row>
    <row r="26" spans="1:13" ht="12">
      <c r="A26" s="12">
        <v>38565</v>
      </c>
      <c r="C26" s="2">
        <v>5.085</v>
      </c>
      <c r="E26" s="2">
        <v>0</v>
      </c>
      <c r="G26" s="13">
        <v>4.178</v>
      </c>
      <c r="I26" s="13">
        <v>1.004</v>
      </c>
      <c r="K26" s="13">
        <f t="shared" si="0"/>
        <v>-0.09699999999999998</v>
      </c>
      <c r="L26" s="6"/>
      <c r="M26" s="14">
        <f t="shared" si="1"/>
        <v>-0.01907571288102261</v>
      </c>
    </row>
    <row r="27" spans="1:13" ht="12">
      <c r="A27" s="12">
        <v>38596</v>
      </c>
      <c r="C27" s="2">
        <v>5.729</v>
      </c>
      <c r="E27" s="2">
        <v>0</v>
      </c>
      <c r="G27" s="13">
        <v>4.863</v>
      </c>
      <c r="I27" s="13">
        <v>1.033</v>
      </c>
      <c r="K27" s="13">
        <f t="shared" si="0"/>
        <v>-0.16700000000000026</v>
      </c>
      <c r="L27" s="6"/>
      <c r="M27" s="14">
        <f t="shared" si="1"/>
        <v>-0.02914993890731371</v>
      </c>
    </row>
    <row r="28" spans="1:13" ht="12">
      <c r="A28" s="12">
        <v>38626</v>
      </c>
      <c r="C28" s="2">
        <v>5.806</v>
      </c>
      <c r="E28" s="2">
        <v>0</v>
      </c>
      <c r="G28" s="13">
        <v>4.7</v>
      </c>
      <c r="I28" s="13">
        <v>0.923</v>
      </c>
      <c r="K28" s="13">
        <f t="shared" si="0"/>
        <v>0.18299999999999983</v>
      </c>
      <c r="L28" s="6"/>
      <c r="M28" s="14">
        <f t="shared" si="1"/>
        <v>0.03151911815363414</v>
      </c>
    </row>
    <row r="29" spans="1:13" ht="12">
      <c r="A29" s="12">
        <v>38657</v>
      </c>
      <c r="C29" s="2">
        <v>6.092</v>
      </c>
      <c r="E29" s="2">
        <v>0</v>
      </c>
      <c r="G29" s="13">
        <v>5.4595</v>
      </c>
      <c r="I29" s="13">
        <v>0.799</v>
      </c>
      <c r="K29" s="13">
        <f t="shared" si="0"/>
        <v>-0.16650000000000065</v>
      </c>
      <c r="L29" s="6"/>
      <c r="M29" s="14">
        <f t="shared" si="1"/>
        <v>-0.02733092580433366</v>
      </c>
    </row>
    <row r="30" spans="1:13" ht="12">
      <c r="A30" s="12">
        <v>38687</v>
      </c>
      <c r="C30" s="2">
        <v>5.647</v>
      </c>
      <c r="E30" s="2">
        <v>0</v>
      </c>
      <c r="G30" s="13">
        <v>4.105</v>
      </c>
      <c r="I30" s="13">
        <v>0.892</v>
      </c>
      <c r="K30" s="13">
        <f t="shared" si="0"/>
        <v>0.6499999999999998</v>
      </c>
      <c r="L30" s="6"/>
      <c r="M30" s="14">
        <f t="shared" si="1"/>
        <v>0.11510536568089247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103</v>
      </c>
      <c r="E32" s="4" t="s">
        <v>103</v>
      </c>
      <c r="G32" s="4" t="s">
        <v>103</v>
      </c>
      <c r="I32" s="4" t="s">
        <v>103</v>
      </c>
      <c r="K32" s="4" t="s">
        <v>103</v>
      </c>
      <c r="L32" s="6"/>
      <c r="M32" s="8" t="s">
        <v>103</v>
      </c>
    </row>
    <row r="33" spans="1:13" ht="12">
      <c r="A33" s="5" t="s">
        <v>104</v>
      </c>
      <c r="C33" s="2">
        <f>SUM(C19:C31)</f>
        <v>68.749</v>
      </c>
      <c r="E33" s="2">
        <v>0</v>
      </c>
      <c r="G33" s="13">
        <f>SUM(G19:G31)</f>
        <v>56.6328</v>
      </c>
      <c r="I33" s="13">
        <f>SUM(I19:I32)</f>
        <v>8.045</v>
      </c>
      <c r="K33" s="13">
        <f>SUM(K19:K31)</f>
        <v>4.071199999999998</v>
      </c>
      <c r="L33" s="6"/>
      <c r="M33" s="14">
        <f>(C33-G33-I33)/C33</f>
        <v>0.05921831590277666</v>
      </c>
    </row>
    <row r="34" spans="3:13" ht="12">
      <c r="C34" s="4" t="s">
        <v>105</v>
      </c>
      <c r="E34" s="4" t="s">
        <v>105</v>
      </c>
      <c r="G34" s="4" t="s">
        <v>105</v>
      </c>
      <c r="I34" s="4" t="s">
        <v>105</v>
      </c>
      <c r="K34" s="4" t="s">
        <v>105</v>
      </c>
      <c r="M34" s="4" t="s">
        <v>105</v>
      </c>
    </row>
    <row r="35" ht="12">
      <c r="C35" s="2" t="s">
        <v>160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5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10.875" style="2" customWidth="1"/>
    <col min="8" max="8" width="1.75390625" style="2" customWidth="1"/>
    <col min="9" max="9" width="9.25390625" style="2" customWidth="1"/>
    <col min="10" max="10" width="1.75390625" style="2" customWidth="1"/>
    <col min="11" max="11" width="18.00390625" style="2" customWidth="1"/>
    <col min="12" max="12" width="1.75390625" style="2" customWidth="1"/>
    <col min="13" max="13" width="12.375" style="2" customWidth="1"/>
    <col min="14" max="14" width="1.75390625" style="2" customWidth="1"/>
    <col min="15" max="15" width="17.25390625" style="2" customWidth="1"/>
    <col min="16" max="16" width="3.875" style="2" customWidth="1"/>
    <col min="17" max="17" width="9.87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75</v>
      </c>
      <c r="L1" s="90"/>
      <c r="M1" s="89"/>
      <c r="N1" s="90"/>
      <c r="O1" s="90"/>
    </row>
    <row r="2" spans="1:15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89" t="str">
        <f>'F-1'!A4</f>
        <v>Company:  Utilities, Inc. of Florida (626-Summertree)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9"/>
      <c r="N3" s="90"/>
      <c r="O3" s="90" t="s">
        <v>26</v>
      </c>
    </row>
    <row r="4" spans="1:15" ht="12.75">
      <c r="A4" s="89" t="str">
        <f>'F-1'!A5</f>
        <v>Docket No.: 0602353-WS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/>
      <c r="N4" s="90"/>
      <c r="O4" s="90" t="s">
        <v>78</v>
      </c>
    </row>
    <row r="5" spans="1:15" ht="12.75">
      <c r="A5" s="89" t="str">
        <f>'F-1'!A6</f>
        <v>Test Year Ended:  December 31, 2005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89"/>
      <c r="N5" s="90"/>
      <c r="O5" s="90" t="str">
        <f>'F-1'!J5</f>
        <v>Preparer:  Seidman, F.</v>
      </c>
    </row>
    <row r="6" spans="1:15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2.75">
      <c r="A7" s="89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2.75">
      <c r="A8" s="89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2.75">
      <c r="A9" s="89" t="s">
        <v>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84</v>
      </c>
      <c r="E11" s="56" t="s">
        <v>85</v>
      </c>
      <c r="G11" s="56" t="s">
        <v>86</v>
      </c>
      <c r="H11" s="5"/>
      <c r="I11" s="56" t="s">
        <v>87</v>
      </c>
      <c r="K11" s="56" t="s">
        <v>88</v>
      </c>
      <c r="L11" s="5"/>
      <c r="M11" s="56" t="s">
        <v>89</v>
      </c>
      <c r="N11" s="5"/>
      <c r="O11" s="56" t="s">
        <v>36</v>
      </c>
      <c r="P11" s="5"/>
      <c r="Q11" s="56" t="s">
        <v>37</v>
      </c>
      <c r="R11" s="5"/>
      <c r="S11" s="56" t="s">
        <v>40</v>
      </c>
    </row>
    <row r="12" spans="3:19" ht="12">
      <c r="C12" s="52"/>
      <c r="E12" s="100" t="s">
        <v>29</v>
      </c>
      <c r="F12" s="100"/>
      <c r="G12" s="100"/>
      <c r="H12" s="100"/>
      <c r="I12" s="100"/>
      <c r="K12" s="5" t="s">
        <v>33</v>
      </c>
      <c r="L12" s="5"/>
      <c r="M12" s="5" t="s">
        <v>34</v>
      </c>
      <c r="N12" s="5"/>
      <c r="O12" s="5" t="s">
        <v>104</v>
      </c>
      <c r="P12" s="5"/>
      <c r="Q12" s="5" t="s">
        <v>104</v>
      </c>
      <c r="R12" s="5"/>
      <c r="S12" s="5" t="s">
        <v>41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94</v>
      </c>
      <c r="L13" s="5"/>
      <c r="M13" s="5" t="s">
        <v>33</v>
      </c>
      <c r="N13" s="5"/>
      <c r="O13" s="5" t="s">
        <v>94</v>
      </c>
      <c r="P13" s="5"/>
      <c r="Q13" s="5" t="s">
        <v>38</v>
      </c>
      <c r="R13" s="5"/>
      <c r="S13" s="5" t="s">
        <v>42</v>
      </c>
    </row>
    <row r="14" spans="1:19" ht="12">
      <c r="A14" s="2" t="s">
        <v>28</v>
      </c>
      <c r="C14" s="5" t="s">
        <v>97</v>
      </c>
      <c r="E14" s="5" t="s">
        <v>30</v>
      </c>
      <c r="F14" s="5"/>
      <c r="G14" s="5" t="s">
        <v>31</v>
      </c>
      <c r="H14" s="5"/>
      <c r="I14" s="5" t="s">
        <v>32</v>
      </c>
      <c r="K14" s="5" t="s">
        <v>100</v>
      </c>
      <c r="L14" s="5"/>
      <c r="M14" s="5" t="s">
        <v>35</v>
      </c>
      <c r="N14" s="5"/>
      <c r="O14" s="5" t="s">
        <v>100</v>
      </c>
      <c r="P14" s="5"/>
      <c r="Q14" s="5" t="s">
        <v>39</v>
      </c>
      <c r="R14" s="5"/>
      <c r="S14" s="5" t="s">
        <v>43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2">
        <v>793</v>
      </c>
      <c r="F17" s="72"/>
      <c r="G17" s="72">
        <v>855</v>
      </c>
      <c r="H17" s="72"/>
      <c r="I17" s="72">
        <f>(E17+G17)/2</f>
        <v>824</v>
      </c>
      <c r="J17" s="73"/>
      <c r="K17" s="72">
        <v>21841299</v>
      </c>
      <c r="L17" s="72"/>
      <c r="M17" s="72">
        <f>+K17/I17</f>
        <v>26506.430825242718</v>
      </c>
      <c r="N17" s="72"/>
      <c r="O17" s="72">
        <v>22785929</v>
      </c>
      <c r="P17" s="72"/>
      <c r="Q17" s="72">
        <f>+O17/M17</f>
        <v>859.6377667830105</v>
      </c>
      <c r="R17" s="74"/>
      <c r="S17" s="74"/>
    </row>
    <row r="18" spans="1:19" ht="15.75">
      <c r="A18" s="5"/>
      <c r="C18" s="5"/>
      <c r="E18" s="72"/>
      <c r="F18" s="72"/>
      <c r="G18" s="72"/>
      <c r="H18" s="72"/>
      <c r="I18" s="72"/>
      <c r="J18" s="73"/>
      <c r="K18" s="72"/>
      <c r="L18" s="72"/>
      <c r="M18" s="72"/>
      <c r="N18" s="72"/>
      <c r="O18" s="72"/>
      <c r="P18" s="72"/>
      <c r="Q18" s="72"/>
      <c r="R18" s="74"/>
      <c r="S18" s="74"/>
    </row>
    <row r="19" spans="1:19" ht="16.5">
      <c r="A19" s="5">
        <v>2</v>
      </c>
      <c r="C19" s="5">
        <v>2002</v>
      </c>
      <c r="E19" s="72">
        <f>G17</f>
        <v>855</v>
      </c>
      <c r="F19" s="72"/>
      <c r="G19" s="72">
        <v>899</v>
      </c>
      <c r="H19" s="76"/>
      <c r="I19" s="72">
        <f>(E19+G19)/2</f>
        <v>877</v>
      </c>
      <c r="J19" s="73"/>
      <c r="K19" s="72">
        <v>22895098</v>
      </c>
      <c r="L19" s="72"/>
      <c r="M19" s="72">
        <f>+K19/I19</f>
        <v>26106.155074116305</v>
      </c>
      <c r="N19" s="72"/>
      <c r="O19" s="72">
        <v>23816528</v>
      </c>
      <c r="P19" s="72"/>
      <c r="Q19" s="72">
        <f>+O19/M19</f>
        <v>912.2955077982195</v>
      </c>
      <c r="R19" s="74"/>
      <c r="S19" s="75">
        <f>(Q19/Q17)-1</f>
        <v>0.061255732414209785</v>
      </c>
    </row>
    <row r="20" spans="1:19" ht="15.75">
      <c r="A20" s="5"/>
      <c r="C20" s="5"/>
      <c r="E20" s="72"/>
      <c r="F20" s="72"/>
      <c r="G20" s="72"/>
      <c r="H20" s="72"/>
      <c r="I20" s="72"/>
      <c r="J20" s="73"/>
      <c r="K20" s="72"/>
      <c r="L20" s="72"/>
      <c r="M20" s="72"/>
      <c r="N20" s="72"/>
      <c r="O20" s="72"/>
      <c r="P20" s="72"/>
      <c r="Q20" s="72"/>
      <c r="R20" s="74"/>
      <c r="S20" s="75"/>
    </row>
    <row r="21" spans="1:19" ht="15.75">
      <c r="A21" s="5">
        <v>3</v>
      </c>
      <c r="C21" s="5">
        <v>2003</v>
      </c>
      <c r="E21" s="72">
        <f>G19</f>
        <v>899</v>
      </c>
      <c r="F21" s="72"/>
      <c r="G21" s="72">
        <v>958</v>
      </c>
      <c r="H21" s="72"/>
      <c r="I21" s="72">
        <f>(E21+G21)/2</f>
        <v>928.5</v>
      </c>
      <c r="J21" s="73"/>
      <c r="K21" s="72">
        <v>23236716</v>
      </c>
      <c r="L21" s="72"/>
      <c r="M21" s="72">
        <f>+K21/I21</f>
        <v>25026.080775444265</v>
      </c>
      <c r="N21" s="72"/>
      <c r="O21" s="72">
        <v>24238876</v>
      </c>
      <c r="P21" s="72"/>
      <c r="Q21" s="72">
        <f>+O21/M21</f>
        <v>968.5446242059334</v>
      </c>
      <c r="R21" s="74"/>
      <c r="S21" s="75">
        <f>(Q21/Q19)-1</f>
        <v>0.061656684623459634</v>
      </c>
    </row>
    <row r="22" spans="1:19" ht="15.75">
      <c r="A22" s="5"/>
      <c r="C22" s="5"/>
      <c r="E22" s="72"/>
      <c r="F22" s="72"/>
      <c r="G22" s="72"/>
      <c r="H22" s="72"/>
      <c r="I22" s="72"/>
      <c r="J22" s="73"/>
      <c r="K22" s="72"/>
      <c r="L22" s="72"/>
      <c r="M22" s="72"/>
      <c r="N22" s="72"/>
      <c r="O22" s="72"/>
      <c r="P22" s="72"/>
      <c r="Q22" s="72"/>
      <c r="R22" s="74"/>
      <c r="S22" s="75"/>
    </row>
    <row r="23" spans="1:19" ht="15.75">
      <c r="A23" s="5">
        <v>4</v>
      </c>
      <c r="C23" s="5">
        <v>2004</v>
      </c>
      <c r="E23" s="72">
        <f>G21</f>
        <v>958</v>
      </c>
      <c r="F23" s="72"/>
      <c r="G23" s="72">
        <v>995</v>
      </c>
      <c r="H23" s="72"/>
      <c r="I23" s="72">
        <f>(E23+G23)/2</f>
        <v>976.5</v>
      </c>
      <c r="J23" s="73"/>
      <c r="K23" s="72">
        <v>26983570</v>
      </c>
      <c r="L23" s="72"/>
      <c r="M23" s="72">
        <f>+K23/I23</f>
        <v>27632.94418842806</v>
      </c>
      <c r="N23" s="72"/>
      <c r="O23" s="72">
        <v>27877600</v>
      </c>
      <c r="P23" s="72"/>
      <c r="Q23" s="72">
        <f>+O23/M23</f>
        <v>1008.8537728699353</v>
      </c>
      <c r="R23" s="74"/>
      <c r="S23" s="75">
        <f>(Q23/Q21)-1</f>
        <v>0.04161826688888959</v>
      </c>
    </row>
    <row r="24" spans="1:19" ht="15.75">
      <c r="A24" s="5"/>
      <c r="C24" s="5"/>
      <c r="E24" s="72"/>
      <c r="F24" s="72"/>
      <c r="G24" s="72"/>
      <c r="H24" s="72"/>
      <c r="I24" s="72"/>
      <c r="J24" s="73"/>
      <c r="K24" s="72"/>
      <c r="L24" s="72"/>
      <c r="M24" s="72"/>
      <c r="N24" s="72"/>
      <c r="O24" s="72"/>
      <c r="P24" s="72"/>
      <c r="Q24" s="72"/>
      <c r="R24" s="74"/>
      <c r="S24" s="75"/>
    </row>
    <row r="25" spans="1:19" ht="15.75">
      <c r="A25" s="5">
        <v>5</v>
      </c>
      <c r="C25" s="5">
        <v>2005</v>
      </c>
      <c r="E25" s="72">
        <f>G23</f>
        <v>995</v>
      </c>
      <c r="F25" s="72"/>
      <c r="G25" s="72">
        <v>1077</v>
      </c>
      <c r="H25" s="72"/>
      <c r="I25" s="72">
        <f>(E25+G25)/2</f>
        <v>1036</v>
      </c>
      <c r="J25" s="73"/>
      <c r="K25" s="72">
        <v>26000000</v>
      </c>
      <c r="L25" s="72"/>
      <c r="M25" s="72">
        <f>+K25/I25</f>
        <v>25096.525096525096</v>
      </c>
      <c r="N25" s="72"/>
      <c r="O25" s="72">
        <v>26785000</v>
      </c>
      <c r="P25" s="72"/>
      <c r="Q25" s="72">
        <f>+O25/M25</f>
        <v>1067.2792307692307</v>
      </c>
      <c r="R25" s="74"/>
      <c r="S25" s="75">
        <f>(Q25/Q23)-1</f>
        <v>0.05791271190183456</v>
      </c>
    </row>
    <row r="26" spans="1:19" ht="16.5" thickBot="1">
      <c r="A26" s="5"/>
      <c r="E26" s="77"/>
      <c r="F26" s="77"/>
      <c r="G26" s="77"/>
      <c r="H26" s="77"/>
      <c r="I26" s="77"/>
      <c r="J26" s="77"/>
      <c r="K26" s="74"/>
      <c r="L26" s="74"/>
      <c r="M26" s="74"/>
      <c r="N26" s="74"/>
      <c r="O26" s="78" t="s">
        <v>44</v>
      </c>
      <c r="P26" s="74"/>
      <c r="Q26" s="74"/>
      <c r="R26" s="74"/>
      <c r="S26" s="79">
        <f>AVERAGE(S19:S25)</f>
        <v>0.05561084895709839</v>
      </c>
    </row>
    <row r="27" spans="5:19" ht="16.5" thickTop="1"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5:19" ht="15.75">
      <c r="E28" s="77"/>
      <c r="F28" s="77"/>
      <c r="G28" s="77"/>
      <c r="H28" s="77" t="s">
        <v>205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5:19" ht="15.75"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1" t="s">
        <v>203</v>
      </c>
      <c r="Q29" s="82" t="s">
        <v>204</v>
      </c>
      <c r="R29" s="77"/>
      <c r="S29" s="80"/>
    </row>
    <row r="30" spans="5:19" ht="16.5">
      <c r="E30" s="77"/>
      <c r="F30" s="77"/>
      <c r="G30" s="84"/>
      <c r="H30" s="77"/>
      <c r="I30" s="77"/>
      <c r="J30" s="77" t="s">
        <v>206</v>
      </c>
      <c r="K30" s="77"/>
      <c r="L30" s="77"/>
      <c r="M30" s="77">
        <f>INTERCEPT(Q30:Q34,P30:P34)</f>
        <v>809.7698225720198</v>
      </c>
      <c r="N30" s="77"/>
      <c r="O30" s="74"/>
      <c r="P30" s="77">
        <v>1</v>
      </c>
      <c r="Q30" s="72">
        <f>+Q17</f>
        <v>859.6377667830105</v>
      </c>
      <c r="R30" s="77"/>
      <c r="S30" s="77"/>
    </row>
    <row r="31" spans="3:19" ht="15.75">
      <c r="C31" s="46"/>
      <c r="E31" s="77"/>
      <c r="F31" s="77"/>
      <c r="G31" s="77"/>
      <c r="H31" s="77"/>
      <c r="I31" s="77"/>
      <c r="J31" s="77" t="s">
        <v>208</v>
      </c>
      <c r="K31" s="77"/>
      <c r="L31" s="77"/>
      <c r="M31" s="77">
        <f>SLOPE(Q30:Q34,P30:P34)</f>
        <v>51.18411930441536</v>
      </c>
      <c r="N31" s="77"/>
      <c r="O31" s="77"/>
      <c r="P31" s="77">
        <v>2</v>
      </c>
      <c r="Q31" s="72">
        <f>+Q19</f>
        <v>912.2955077982195</v>
      </c>
      <c r="R31" s="77"/>
      <c r="S31" s="77"/>
    </row>
    <row r="32" spans="3:19" ht="15.75">
      <c r="C32" s="46"/>
      <c r="E32" s="77"/>
      <c r="F32" s="77"/>
      <c r="G32" s="77"/>
      <c r="H32" s="77"/>
      <c r="I32" s="77"/>
      <c r="J32" s="77" t="s">
        <v>207</v>
      </c>
      <c r="K32" s="77"/>
      <c r="L32" s="77"/>
      <c r="M32" s="77">
        <f>RSQ(Q30:Q34,P30:P34)</f>
        <v>0.9975817812336337</v>
      </c>
      <c r="N32" s="77"/>
      <c r="O32" s="77"/>
      <c r="P32" s="77">
        <v>3</v>
      </c>
      <c r="Q32" s="72">
        <f>+Q21</f>
        <v>968.5446242059334</v>
      </c>
      <c r="R32" s="77"/>
      <c r="S32" s="77"/>
    </row>
    <row r="33" spans="5:19" ht="15.75"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>
        <v>4</v>
      </c>
      <c r="Q33" s="72">
        <f>+Q23</f>
        <v>1008.8537728699353</v>
      </c>
      <c r="R33" s="77"/>
      <c r="S33" s="77"/>
    </row>
    <row r="34" spans="1:19" ht="15.75">
      <c r="A34" s="1"/>
      <c r="E34" s="77"/>
      <c r="F34" s="77"/>
      <c r="G34" s="77"/>
      <c r="H34" s="77"/>
      <c r="I34" s="77"/>
      <c r="J34" s="77"/>
      <c r="K34" s="77"/>
      <c r="L34" s="77"/>
      <c r="M34" s="83"/>
      <c r="N34" s="77"/>
      <c r="O34" s="77"/>
      <c r="P34" s="77">
        <v>5</v>
      </c>
      <c r="Q34" s="72">
        <f>+Q25</f>
        <v>1067.2792307692307</v>
      </c>
      <c r="R34" s="77"/>
      <c r="S34" s="77"/>
    </row>
    <row r="35" spans="1:17" ht="15.75">
      <c r="A35" s="1"/>
      <c r="J35" s="77"/>
      <c r="K35" s="77"/>
      <c r="L35" s="77"/>
      <c r="M35" s="83"/>
      <c r="N35" s="77"/>
      <c r="O35" s="77"/>
      <c r="P35" s="77">
        <v>10</v>
      </c>
      <c r="Q35" s="72">
        <f>M30+M31*P35</f>
        <v>1321.6110156161735</v>
      </c>
    </row>
    <row r="36" spans="1:17" ht="15.75">
      <c r="A36" s="1"/>
      <c r="J36" s="77"/>
      <c r="K36" s="77"/>
      <c r="L36" s="77"/>
      <c r="M36" s="83"/>
      <c r="N36" s="77"/>
      <c r="O36" s="77"/>
      <c r="P36" s="77"/>
      <c r="Q36" s="72"/>
    </row>
    <row r="37" spans="1:17" ht="15.75">
      <c r="A37" s="1"/>
      <c r="J37" s="77" t="s">
        <v>211</v>
      </c>
      <c r="K37" s="77"/>
      <c r="L37" s="77"/>
      <c r="M37" s="83"/>
      <c r="N37" s="77"/>
      <c r="O37" s="77"/>
      <c r="P37" s="77"/>
      <c r="Q37" s="72">
        <f>Q35-Q34</f>
        <v>254.3317848469428</v>
      </c>
    </row>
    <row r="38" spans="1:17" ht="15.75">
      <c r="A38" s="1"/>
      <c r="J38" s="77" t="s">
        <v>212</v>
      </c>
      <c r="K38" s="77"/>
      <c r="L38" s="77"/>
      <c r="M38" s="83"/>
      <c r="N38" s="77"/>
      <c r="O38" s="77"/>
      <c r="P38" s="77"/>
      <c r="Q38" s="72">
        <f>Q37/5</f>
        <v>50.86635696938856</v>
      </c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6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3" ht="12">
      <c r="A58" s="1"/>
      <c r="M58" s="1"/>
    </row>
    <row r="59" spans="11:12" ht="18.75">
      <c r="K59" s="11"/>
      <c r="L59" s="51"/>
    </row>
    <row r="60" spans="1:13" ht="12">
      <c r="A60" s="1"/>
      <c r="M60" s="1"/>
    </row>
    <row r="61" spans="1:13" ht="12">
      <c r="A61" s="1"/>
      <c r="M61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workbookViewId="0" topLeftCell="A11">
      <selection activeCell="A18" sqref="A18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9" t="s">
        <v>106</v>
      </c>
      <c r="B1" s="90"/>
      <c r="C1" s="90"/>
      <c r="D1" s="90"/>
      <c r="E1" s="90"/>
      <c r="F1" s="90"/>
      <c r="G1" s="90"/>
      <c r="H1" s="90"/>
      <c r="I1" s="90"/>
      <c r="J1" s="89" t="s">
        <v>75</v>
      </c>
      <c r="K1" s="91"/>
    </row>
    <row r="2" spans="1:11" ht="12.75">
      <c r="A2" s="89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89" t="s">
        <v>107</v>
      </c>
      <c r="K3" s="91"/>
    </row>
    <row r="4" spans="1:11" ht="12.75">
      <c r="A4" s="89" t="str">
        <f>'F-1'!A4</f>
        <v>Company:  Utilities, Inc. of Florida (626-Summertree)</v>
      </c>
      <c r="B4" s="90"/>
      <c r="C4" s="90"/>
      <c r="D4" s="90"/>
      <c r="E4" s="90"/>
      <c r="F4" s="90"/>
      <c r="G4" s="90"/>
      <c r="H4" s="90"/>
      <c r="I4" s="90"/>
      <c r="J4" s="89" t="s">
        <v>78</v>
      </c>
      <c r="K4" s="91"/>
    </row>
    <row r="5" spans="1:11" ht="12.75">
      <c r="A5" s="89" t="str">
        <f>'F-1'!A5</f>
        <v>Docket No.: 0602353-WS</v>
      </c>
      <c r="B5" s="90"/>
      <c r="C5" s="90"/>
      <c r="D5" s="90"/>
      <c r="E5" s="90"/>
      <c r="F5" s="90"/>
      <c r="G5" s="90"/>
      <c r="H5" s="90"/>
      <c r="I5" s="90"/>
      <c r="J5" s="89" t="str">
        <f>'F-1'!J5</f>
        <v>Preparer:  Seidman, F.</v>
      </c>
      <c r="K5" s="91"/>
    </row>
    <row r="6" spans="1:11" ht="12.75">
      <c r="A6" s="89" t="str">
        <f>'F-1'!A6</f>
        <v>Test Year Ended:  December 31, 2005</v>
      </c>
      <c r="B6" s="90"/>
      <c r="C6" s="92"/>
      <c r="D6" s="90"/>
      <c r="E6" s="90"/>
      <c r="F6" s="90"/>
      <c r="G6" s="90"/>
      <c r="H6" s="90"/>
      <c r="I6" s="90"/>
      <c r="J6" s="90"/>
      <c r="K6" s="91"/>
    </row>
    <row r="7" spans="1:1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12.75">
      <c r="A8" s="89" t="s">
        <v>109</v>
      </c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12.75">
      <c r="A9" s="89" t="s">
        <v>162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3" ht="12">
      <c r="A10" s="4" t="s">
        <v>83</v>
      </c>
      <c r="B10" s="4" t="s">
        <v>83</v>
      </c>
      <c r="C10" s="4" t="s">
        <v>83</v>
      </c>
      <c r="D10" s="4" t="s">
        <v>83</v>
      </c>
      <c r="E10" s="4" t="s">
        <v>83</v>
      </c>
      <c r="F10" s="4" t="s">
        <v>83</v>
      </c>
      <c r="G10" s="4" t="s">
        <v>83</v>
      </c>
      <c r="H10" s="4" t="s">
        <v>83</v>
      </c>
      <c r="I10" s="4" t="s">
        <v>83</v>
      </c>
      <c r="J10" s="4" t="s">
        <v>83</v>
      </c>
      <c r="K10" s="18" t="s">
        <v>83</v>
      </c>
      <c r="L10" s="4" t="s">
        <v>83</v>
      </c>
      <c r="M10" s="4" t="s">
        <v>83</v>
      </c>
    </row>
    <row r="11" spans="3:13" ht="12">
      <c r="C11" s="5" t="s">
        <v>84</v>
      </c>
      <c r="E11" s="5" t="s">
        <v>85</v>
      </c>
      <c r="G11" s="5" t="s">
        <v>86</v>
      </c>
      <c r="I11" s="5" t="s">
        <v>87</v>
      </c>
      <c r="K11" s="19" t="s">
        <v>88</v>
      </c>
      <c r="M11" s="5" t="s">
        <v>89</v>
      </c>
    </row>
    <row r="12" spans="5:13" ht="12">
      <c r="E12" s="20" t="s">
        <v>110</v>
      </c>
      <c r="F12" s="20"/>
      <c r="G12" s="20"/>
      <c r="M12" s="5" t="s">
        <v>111</v>
      </c>
    </row>
    <row r="13" spans="1:13" ht="12">
      <c r="A13" s="5" t="s">
        <v>92</v>
      </c>
      <c r="C13" s="4" t="s">
        <v>83</v>
      </c>
      <c r="D13" s="4" t="s">
        <v>83</v>
      </c>
      <c r="E13" s="4" t="s">
        <v>83</v>
      </c>
      <c r="F13" s="4" t="s">
        <v>83</v>
      </c>
      <c r="G13" s="4" t="s">
        <v>83</v>
      </c>
      <c r="H13" s="4" t="s">
        <v>83</v>
      </c>
      <c r="I13" s="4" t="s">
        <v>83</v>
      </c>
      <c r="K13" s="19" t="s">
        <v>112</v>
      </c>
      <c r="M13" s="5" t="s">
        <v>113</v>
      </c>
    </row>
    <row r="14" spans="1:13" ht="12">
      <c r="A14" s="5" t="s">
        <v>97</v>
      </c>
      <c r="C14" s="5" t="s">
        <v>114</v>
      </c>
      <c r="E14" s="5" t="s">
        <v>114</v>
      </c>
      <c r="G14" s="5" t="s">
        <v>114</v>
      </c>
      <c r="I14" s="5" t="s">
        <v>114</v>
      </c>
      <c r="K14" s="19" t="s">
        <v>115</v>
      </c>
      <c r="M14" s="5" t="s">
        <v>116</v>
      </c>
    </row>
    <row r="15" spans="1:13" ht="12">
      <c r="A15" s="4" t="s">
        <v>83</v>
      </c>
      <c r="C15" s="21"/>
      <c r="E15" s="4" t="s">
        <v>83</v>
      </c>
      <c r="G15" s="4" t="s">
        <v>83</v>
      </c>
      <c r="I15" s="4" t="s">
        <v>83</v>
      </c>
      <c r="K15" s="18" t="s">
        <v>83</v>
      </c>
      <c r="M15" s="4" t="s">
        <v>83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2.761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2.4569</v>
      </c>
    </row>
    <row r="18" spans="1:13" ht="12">
      <c r="A18" s="12">
        <v>38412</v>
      </c>
      <c r="C18" s="13"/>
      <c r="D18" s="68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2.918</v>
      </c>
    </row>
    <row r="19" spans="1:13" ht="12">
      <c r="A19" s="12">
        <v>38443</v>
      </c>
      <c r="C19" s="13"/>
      <c r="D19" s="68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2.528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2.7952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2.7177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2.7329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2.9526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2.6922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2.905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2.7097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2.6657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5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  <c r="O29" s="2" t="s">
        <v>200</v>
      </c>
    </row>
    <row r="30" spans="3:13" ht="12">
      <c r="C30" s="8" t="s">
        <v>103</v>
      </c>
      <c r="D30" s="13"/>
      <c r="E30" s="8" t="s">
        <v>103</v>
      </c>
      <c r="F30" s="13"/>
      <c r="G30" s="8" t="s">
        <v>103</v>
      </c>
      <c r="H30" s="13"/>
      <c r="I30" s="8" t="s">
        <v>103</v>
      </c>
      <c r="J30" s="13"/>
      <c r="K30" s="8" t="s">
        <v>103</v>
      </c>
      <c r="L30" s="13"/>
      <c r="M30" s="8" t="s">
        <v>103</v>
      </c>
    </row>
    <row r="31" spans="1:15" ht="12">
      <c r="A31" s="5" t="s">
        <v>104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f>SUM(M16:M27)</f>
        <v>32.834900000000005</v>
      </c>
      <c r="O31" s="2">
        <v>20.245</v>
      </c>
    </row>
    <row r="32" spans="3:13" ht="12">
      <c r="C32" s="18" t="s">
        <v>105</v>
      </c>
      <c r="E32" s="4" t="s">
        <v>105</v>
      </c>
      <c r="G32" s="4" t="s">
        <v>105</v>
      </c>
      <c r="I32" s="4" t="s">
        <v>105</v>
      </c>
      <c r="K32" s="18" t="s">
        <v>105</v>
      </c>
      <c r="M32" s="4" t="s">
        <v>105</v>
      </c>
    </row>
    <row r="33" spans="3:16" ht="12">
      <c r="C33" s="2" t="s">
        <v>160</v>
      </c>
      <c r="O33" s="13">
        <f>+M31-O31</f>
        <v>12.589900000000004</v>
      </c>
      <c r="P33" s="2" t="s">
        <v>201</v>
      </c>
    </row>
    <row r="34" spans="15:16" ht="12">
      <c r="O34" s="2">
        <f>+O33/365</f>
        <v>0.03449287671232878</v>
      </c>
      <c r="P34" s="2" t="s">
        <v>141</v>
      </c>
    </row>
    <row r="35" spans="3:16" ht="12">
      <c r="C35" s="2" t="s">
        <v>188</v>
      </c>
      <c r="O35" s="2">
        <f>19057*10^-6</f>
        <v>0.019056999999999998</v>
      </c>
      <c r="P35" s="2" t="s">
        <v>202</v>
      </c>
    </row>
    <row r="49" ht="24">
      <c r="G49" s="85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workbookViewId="0" topLeftCell="D23">
      <selection activeCell="K31" sqref="K31"/>
    </sheetView>
  </sheetViews>
  <sheetFormatPr defaultColWidth="9.00390625" defaultRowHeight="12.75"/>
  <cols>
    <col min="1" max="1" width="4.375" style="23" customWidth="1"/>
    <col min="2" max="7" width="8.75390625" style="23" customWidth="1"/>
    <col min="8" max="8" width="19.125" style="23" customWidth="1"/>
    <col min="9" max="9" width="7.875" style="23" customWidth="1"/>
    <col min="10" max="10" width="14.00390625" style="23" customWidth="1"/>
    <col min="11" max="11" width="15.87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3" t="s">
        <v>117</v>
      </c>
      <c r="B1" s="94"/>
      <c r="C1" s="94"/>
      <c r="D1" s="94"/>
      <c r="E1" s="94"/>
      <c r="F1" s="94"/>
      <c r="G1" s="94"/>
      <c r="H1" s="93" t="s">
        <v>75</v>
      </c>
      <c r="J1" s="24"/>
    </row>
    <row r="2" spans="1:10" ht="12.75">
      <c r="A2" s="94"/>
      <c r="B2" s="94"/>
      <c r="C2" s="94"/>
      <c r="D2" s="94"/>
      <c r="E2" s="94"/>
      <c r="F2" s="94"/>
      <c r="G2" s="94"/>
      <c r="H2" s="94"/>
      <c r="J2" s="24"/>
    </row>
    <row r="3" spans="1:10" ht="12.75">
      <c r="A3" s="93" t="str">
        <f>'F-1'!A4</f>
        <v>Company:  Utilities, Inc. of Florida (626-Summertree)</v>
      </c>
      <c r="B3" s="94"/>
      <c r="C3" s="94"/>
      <c r="D3" s="94"/>
      <c r="E3" s="94"/>
      <c r="F3" s="94"/>
      <c r="G3" s="94"/>
      <c r="H3" s="93" t="s">
        <v>118</v>
      </c>
      <c r="J3" s="24"/>
    </row>
    <row r="4" spans="1:10" ht="12.75">
      <c r="A4" s="93" t="str">
        <f>'F-1'!A5</f>
        <v>Docket No.: 0602353-WS</v>
      </c>
      <c r="B4" s="94"/>
      <c r="C4" s="94"/>
      <c r="D4" s="94"/>
      <c r="E4" s="94"/>
      <c r="F4" s="94"/>
      <c r="G4" s="94"/>
      <c r="H4" s="93" t="s">
        <v>78</v>
      </c>
      <c r="J4" s="24"/>
    </row>
    <row r="5" spans="1:10" ht="12.75">
      <c r="A5" s="93" t="str">
        <f>'F-1'!A6</f>
        <v>Test Year Ended:  December 31, 2005</v>
      </c>
      <c r="B5" s="94"/>
      <c r="C5" s="94"/>
      <c r="D5" s="94"/>
      <c r="E5" s="94"/>
      <c r="F5" s="94"/>
      <c r="G5" s="94"/>
      <c r="H5" s="93" t="str">
        <f>'F-1'!J5</f>
        <v>Preparer:  Seidman, F.</v>
      </c>
      <c r="J5" s="24"/>
    </row>
    <row r="6" spans="1:8" ht="12.75">
      <c r="A6" s="94"/>
      <c r="B6" s="94"/>
      <c r="C6" s="94"/>
      <c r="D6" s="94"/>
      <c r="E6" s="94"/>
      <c r="F6" s="94"/>
      <c r="G6" s="94"/>
      <c r="H6" s="94"/>
    </row>
    <row r="7" spans="1:8" ht="12.75">
      <c r="A7" s="93" t="s">
        <v>119</v>
      </c>
      <c r="B7" s="94"/>
      <c r="C7" s="94"/>
      <c r="D7" s="94"/>
      <c r="E7" s="94"/>
      <c r="F7" s="94"/>
      <c r="G7" s="94"/>
      <c r="H7" s="94"/>
    </row>
    <row r="8" spans="1:8" ht="12.75">
      <c r="A8" s="93" t="s">
        <v>120</v>
      </c>
      <c r="B8" s="94"/>
      <c r="C8" s="94"/>
      <c r="D8" s="94"/>
      <c r="E8" s="94"/>
      <c r="F8" s="94"/>
      <c r="G8" s="94"/>
      <c r="H8" s="94"/>
    </row>
    <row r="9" spans="1:8" ht="12.75">
      <c r="A9" s="93" t="s">
        <v>163</v>
      </c>
      <c r="B9" s="94"/>
      <c r="C9" s="94"/>
      <c r="D9" s="94"/>
      <c r="E9" s="94"/>
      <c r="F9" s="94"/>
      <c r="G9" s="94"/>
      <c r="H9" s="94"/>
    </row>
    <row r="10" spans="1:13" ht="12.75">
      <c r="A10" s="25" t="s">
        <v>83</v>
      </c>
      <c r="B10" s="25" t="s">
        <v>83</v>
      </c>
      <c r="C10" s="25" t="s">
        <v>83</v>
      </c>
      <c r="D10" s="25" t="s">
        <v>83</v>
      </c>
      <c r="E10" s="25" t="s">
        <v>83</v>
      </c>
      <c r="F10" s="25" t="s">
        <v>83</v>
      </c>
      <c r="G10" s="25" t="s">
        <v>83</v>
      </c>
      <c r="H10" s="25" t="s">
        <v>83</v>
      </c>
      <c r="I10" s="25" t="s">
        <v>83</v>
      </c>
      <c r="J10" s="25" t="s">
        <v>83</v>
      </c>
      <c r="K10" s="25" t="s">
        <v>83</v>
      </c>
      <c r="L10"/>
      <c r="M10"/>
    </row>
    <row r="11" spans="10:11" s="26" customFormat="1" ht="12">
      <c r="J11" s="55" t="s">
        <v>121</v>
      </c>
      <c r="K11" s="55" t="s">
        <v>122</v>
      </c>
    </row>
    <row r="12" spans="1:11" s="26" customFormat="1" ht="13.5">
      <c r="A12" s="101">
        <v>1</v>
      </c>
      <c r="B12" s="102" t="s">
        <v>123</v>
      </c>
      <c r="C12" s="103"/>
      <c r="D12" s="101"/>
      <c r="E12" s="101"/>
      <c r="F12" s="101"/>
      <c r="G12" s="101"/>
      <c r="H12" s="101"/>
      <c r="J12" s="23"/>
      <c r="K12" s="23"/>
    </row>
    <row r="13" spans="1:11" s="26" customFormat="1" ht="13.5">
      <c r="A13" s="101"/>
      <c r="B13" s="102" t="s">
        <v>124</v>
      </c>
      <c r="C13" s="104"/>
      <c r="D13" s="104"/>
      <c r="E13" s="104"/>
      <c r="F13" s="104"/>
      <c r="G13" s="104"/>
      <c r="H13" s="101"/>
      <c r="J13" s="66"/>
      <c r="K13" s="65">
        <v>540000</v>
      </c>
    </row>
    <row r="14" spans="1:8" s="26" customFormat="1" ht="13.5">
      <c r="A14" s="101"/>
      <c r="B14" s="102" t="s">
        <v>164</v>
      </c>
      <c r="C14" s="101"/>
      <c r="D14" s="101"/>
      <c r="E14" s="101"/>
      <c r="F14" s="101"/>
      <c r="G14" s="101"/>
      <c r="H14" s="101"/>
    </row>
    <row r="15" spans="1:8" s="26" customFormat="1" ht="13.5">
      <c r="A15" s="101"/>
      <c r="B15" s="101"/>
      <c r="C15" s="101"/>
      <c r="D15" s="101"/>
      <c r="E15" s="101"/>
      <c r="F15" s="101"/>
      <c r="G15" s="101"/>
      <c r="H15" s="101"/>
    </row>
    <row r="16" spans="1:8" s="26" customFormat="1" ht="13.5">
      <c r="A16" s="101">
        <v>2</v>
      </c>
      <c r="B16" s="102" t="s">
        <v>125</v>
      </c>
      <c r="C16" s="103"/>
      <c r="D16" s="101"/>
      <c r="E16" s="101"/>
      <c r="F16" s="101"/>
      <c r="G16" s="101"/>
      <c r="H16" s="101"/>
    </row>
    <row r="17" spans="1:11" s="26" customFormat="1" ht="13.5">
      <c r="A17" s="101"/>
      <c r="B17" s="102" t="s">
        <v>126</v>
      </c>
      <c r="C17" s="101"/>
      <c r="D17" s="101"/>
      <c r="E17" s="101"/>
      <c r="F17" s="101"/>
      <c r="G17" s="101"/>
      <c r="H17" s="101"/>
      <c r="J17" s="58">
        <v>38488</v>
      </c>
      <c r="K17" s="59">
        <v>362000</v>
      </c>
    </row>
    <row r="18" spans="1:10" s="26" customFormat="1" ht="13.5">
      <c r="A18" s="101"/>
      <c r="B18" s="102" t="s">
        <v>165</v>
      </c>
      <c r="C18" s="101"/>
      <c r="D18" s="101"/>
      <c r="E18" s="101"/>
      <c r="F18" s="101"/>
      <c r="G18" s="101"/>
      <c r="H18" s="101"/>
      <c r="J18" s="22"/>
    </row>
    <row r="19" spans="1:11" s="26" customFormat="1" ht="13.5">
      <c r="A19" s="101"/>
      <c r="B19" s="102" t="s">
        <v>166</v>
      </c>
      <c r="C19" s="101"/>
      <c r="D19" s="101"/>
      <c r="E19" s="101"/>
      <c r="F19" s="101"/>
      <c r="G19" s="101"/>
      <c r="H19" s="101"/>
      <c r="J19" s="87"/>
      <c r="K19" s="88"/>
    </row>
    <row r="20" spans="1:10" s="26" customFormat="1" ht="13.5">
      <c r="A20" s="101"/>
      <c r="B20" s="101"/>
      <c r="C20" s="101"/>
      <c r="D20" s="101"/>
      <c r="E20" s="101"/>
      <c r="F20" s="101"/>
      <c r="G20" s="101"/>
      <c r="H20" s="101"/>
      <c r="J20" s="22"/>
    </row>
    <row r="21" spans="1:8" s="26" customFormat="1" ht="13.5">
      <c r="A21" s="101">
        <v>3</v>
      </c>
      <c r="B21" s="102" t="s">
        <v>127</v>
      </c>
      <c r="C21" s="103"/>
      <c r="D21" s="101"/>
      <c r="E21" s="101"/>
      <c r="F21" s="101"/>
      <c r="G21" s="101"/>
      <c r="H21" s="101"/>
    </row>
    <row r="22" spans="1:11" s="26" customFormat="1" ht="13.5">
      <c r="A22" s="101"/>
      <c r="B22" s="102" t="s">
        <v>0</v>
      </c>
      <c r="C22" s="101"/>
      <c r="D22" s="101"/>
      <c r="E22" s="101"/>
      <c r="F22" s="101"/>
      <c r="G22" s="101"/>
      <c r="H22" s="101"/>
      <c r="I22" s="53" t="s">
        <v>84</v>
      </c>
      <c r="J22" s="58">
        <v>38503</v>
      </c>
      <c r="K22" s="59">
        <v>316000</v>
      </c>
    </row>
    <row r="23" spans="1:11" s="26" customFormat="1" ht="13.5">
      <c r="A23" s="101"/>
      <c r="B23" s="102" t="s">
        <v>45</v>
      </c>
      <c r="C23" s="101"/>
      <c r="D23" s="101"/>
      <c r="E23" s="101"/>
      <c r="F23" s="101"/>
      <c r="G23" s="101"/>
      <c r="H23" s="101"/>
      <c r="I23" s="53" t="s">
        <v>85</v>
      </c>
      <c r="J23" s="58">
        <v>38489</v>
      </c>
      <c r="K23" s="60">
        <v>330000</v>
      </c>
    </row>
    <row r="24" spans="1:11" s="26" customFormat="1" ht="13.5">
      <c r="A24" s="101"/>
      <c r="B24" s="102" t="s">
        <v>167</v>
      </c>
      <c r="C24" s="101"/>
      <c r="D24" s="101"/>
      <c r="E24" s="101"/>
      <c r="F24" s="101"/>
      <c r="G24" s="101"/>
      <c r="H24" s="101"/>
      <c r="I24" s="53" t="s">
        <v>86</v>
      </c>
      <c r="J24" s="58">
        <v>38497</v>
      </c>
      <c r="K24" s="60">
        <v>335000</v>
      </c>
    </row>
    <row r="25" spans="1:11" s="26" customFormat="1" ht="13.5">
      <c r="A25" s="101"/>
      <c r="B25" s="102" t="s">
        <v>46</v>
      </c>
      <c r="C25" s="101"/>
      <c r="D25" s="101"/>
      <c r="E25" s="101"/>
      <c r="F25" s="101"/>
      <c r="G25" s="101"/>
      <c r="H25" s="101"/>
      <c r="I25" s="53" t="s">
        <v>87</v>
      </c>
      <c r="J25" s="58">
        <v>38487</v>
      </c>
      <c r="K25" s="60">
        <v>362000</v>
      </c>
    </row>
    <row r="26" spans="1:11" s="26" customFormat="1" ht="13.5">
      <c r="A26" s="101"/>
      <c r="B26" s="101"/>
      <c r="C26" s="101"/>
      <c r="D26" s="101"/>
      <c r="E26" s="101"/>
      <c r="F26" s="101"/>
      <c r="G26" s="101"/>
      <c r="H26" s="101"/>
      <c r="I26" s="53" t="s">
        <v>88</v>
      </c>
      <c r="J26" s="58">
        <v>38488</v>
      </c>
      <c r="K26" s="59">
        <v>362000</v>
      </c>
    </row>
    <row r="27" spans="1:11" s="26" customFormat="1" ht="13.5">
      <c r="A27" s="101"/>
      <c r="B27" s="101"/>
      <c r="C27" s="101"/>
      <c r="D27" s="101"/>
      <c r="E27" s="101"/>
      <c r="F27" s="101"/>
      <c r="G27" s="101"/>
      <c r="H27" s="101"/>
      <c r="I27" s="53"/>
      <c r="J27" s="57"/>
      <c r="K27" s="54"/>
    </row>
    <row r="28" spans="1:11" s="26" customFormat="1" ht="13.5">
      <c r="A28" s="101"/>
      <c r="B28" s="101"/>
      <c r="C28" s="101"/>
      <c r="D28" s="101"/>
      <c r="E28" s="101"/>
      <c r="F28" s="101"/>
      <c r="G28" s="101"/>
      <c r="H28" s="101"/>
      <c r="J28" s="26" t="s">
        <v>47</v>
      </c>
      <c r="K28" s="59">
        <f>AVERAGE(K22:K26)</f>
        <v>341000</v>
      </c>
    </row>
    <row r="29" spans="1:11" s="26" customFormat="1" ht="13.5">
      <c r="A29" s="101"/>
      <c r="B29" s="101"/>
      <c r="C29" s="101"/>
      <c r="D29" s="101"/>
      <c r="E29" s="101"/>
      <c r="F29" s="101"/>
      <c r="G29" s="101"/>
      <c r="H29" s="101"/>
      <c r="K29" s="25"/>
    </row>
    <row r="30" spans="1:11" s="26" customFormat="1" ht="13.5">
      <c r="A30" s="101"/>
      <c r="B30" s="101"/>
      <c r="C30" s="105"/>
      <c r="D30" s="105"/>
      <c r="E30" s="105"/>
      <c r="F30" s="101"/>
      <c r="G30" s="101"/>
      <c r="H30" s="101"/>
      <c r="J30" s="55" t="s">
        <v>159</v>
      </c>
      <c r="K30" s="67">
        <f>K22</f>
        <v>316000</v>
      </c>
    </row>
    <row r="31" spans="1:11" s="26" customFormat="1" ht="13.5">
      <c r="A31" s="101">
        <v>4</v>
      </c>
      <c r="B31" s="105" t="s">
        <v>48</v>
      </c>
      <c r="C31" s="101"/>
      <c r="D31" s="101"/>
      <c r="E31" s="101"/>
      <c r="F31" s="101"/>
      <c r="G31" s="101"/>
      <c r="H31" s="101"/>
      <c r="J31" s="87" t="s">
        <v>41</v>
      </c>
      <c r="K31" s="67">
        <f>'F-1'!C33*10^6/365</f>
        <v>188353.42465753425</v>
      </c>
    </row>
    <row r="32" spans="1:8" s="26" customFormat="1" ht="13.5">
      <c r="A32" s="101"/>
      <c r="B32" s="101"/>
      <c r="C32" s="101"/>
      <c r="D32" s="101"/>
      <c r="E32" s="101"/>
      <c r="F32" s="101"/>
      <c r="G32" s="101"/>
      <c r="H32" s="101"/>
    </row>
    <row r="33" spans="1:11" s="26" customFormat="1" ht="13.5">
      <c r="A33" s="101">
        <v>5</v>
      </c>
      <c r="B33" s="102" t="s">
        <v>1</v>
      </c>
      <c r="C33" s="101"/>
      <c r="D33" s="101"/>
      <c r="E33" s="102" t="s">
        <v>191</v>
      </c>
      <c r="F33" s="101"/>
      <c r="G33" s="101"/>
      <c r="H33" s="101"/>
      <c r="J33" s="22" t="s">
        <v>189</v>
      </c>
      <c r="K33" s="25"/>
    </row>
    <row r="34" spans="1:8" s="26" customFormat="1" ht="13.5">
      <c r="A34" s="101"/>
      <c r="B34" s="101"/>
      <c r="C34" s="101"/>
      <c r="D34" s="101"/>
      <c r="E34" s="101"/>
      <c r="F34" s="101"/>
      <c r="G34" s="101"/>
      <c r="H34" s="101"/>
    </row>
    <row r="35" spans="1:8" s="26" customFormat="1" ht="13.5">
      <c r="A35" s="101"/>
      <c r="B35" s="102" t="s">
        <v>49</v>
      </c>
      <c r="C35" s="101"/>
      <c r="D35" s="101"/>
      <c r="E35" s="101"/>
      <c r="F35" s="101"/>
      <c r="G35" s="101"/>
      <c r="H35" s="101"/>
    </row>
    <row r="36" spans="1:8" s="26" customFormat="1" ht="13.5">
      <c r="A36" s="101"/>
      <c r="B36" s="102" t="s">
        <v>50</v>
      </c>
      <c r="C36" s="101"/>
      <c r="D36" s="101"/>
      <c r="E36" s="101"/>
      <c r="F36" s="101"/>
      <c r="G36" s="101"/>
      <c r="H36" s="101"/>
    </row>
    <row r="37" spans="1:8" s="26" customFormat="1" ht="13.5">
      <c r="A37" s="101"/>
      <c r="B37" s="102" t="s">
        <v>51</v>
      </c>
      <c r="C37" s="101"/>
      <c r="D37" s="101"/>
      <c r="E37" s="101"/>
      <c r="F37" s="101"/>
      <c r="G37" s="101"/>
      <c r="H37" s="101"/>
    </row>
    <row r="38" spans="1:8" s="26" customFormat="1" ht="13.5">
      <c r="A38" s="101"/>
      <c r="B38" s="101"/>
      <c r="C38" s="101"/>
      <c r="D38" s="101"/>
      <c r="E38" s="101"/>
      <c r="F38" s="101"/>
      <c r="G38" s="101"/>
      <c r="H38" s="101"/>
    </row>
    <row r="39" s="26" customFormat="1" ht="12"/>
    <row r="40" s="26" customFormat="1" ht="12"/>
    <row r="41" s="26" customFormat="1" ht="12.75">
      <c r="J41" s="27"/>
    </row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5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pans="1:11" ht="18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3" ht="18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9"/>
      <c r="M55" s="29"/>
    </row>
  </sheetData>
  <printOptions/>
  <pageMargins left="0.75" right="0.5" top="1" bottom="1" header="0.5" footer="0.5"/>
  <pageSetup fitToHeight="1" fitToWidth="1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2" sqref="A2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89" t="s">
        <v>75</v>
      </c>
    </row>
    <row r="2" spans="1:10" ht="12.7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89" t="str">
        <f>'F-1'!A4</f>
        <v>Company:  Utilities, Inc. of Florida (626-Summertree)</v>
      </c>
      <c r="B3" s="90"/>
      <c r="C3" s="90"/>
      <c r="D3" s="90"/>
      <c r="E3" s="90"/>
      <c r="F3" s="90"/>
      <c r="G3" s="90"/>
      <c r="H3" s="90"/>
      <c r="I3" s="90"/>
      <c r="J3" s="89" t="s">
        <v>3</v>
      </c>
    </row>
    <row r="4" spans="1:10" ht="12.75">
      <c r="A4" s="89" t="str">
        <f>'F-1'!A5</f>
        <v>Docket No.: 0602353-WS</v>
      </c>
      <c r="B4" s="90"/>
      <c r="C4" s="90"/>
      <c r="D4" s="90"/>
      <c r="E4" s="90"/>
      <c r="F4" s="90"/>
      <c r="G4" s="90"/>
      <c r="H4" s="90"/>
      <c r="I4" s="90"/>
      <c r="J4" s="89" t="s">
        <v>78</v>
      </c>
    </row>
    <row r="5" spans="1:10" ht="12.75">
      <c r="A5" s="89" t="str">
        <f>'F-1'!A6</f>
        <v>Test Year Ended:  December 31, 2005</v>
      </c>
      <c r="B5" s="90"/>
      <c r="C5" s="92"/>
      <c r="D5" s="90"/>
      <c r="E5" s="90"/>
      <c r="F5" s="90"/>
      <c r="G5" s="90"/>
      <c r="H5" s="90"/>
      <c r="I5" s="90"/>
      <c r="J5" s="89" t="str">
        <f>'F-1'!J5</f>
        <v>Preparer:  Seidman, F.</v>
      </c>
    </row>
    <row r="6" spans="1:10" ht="12.7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2.75">
      <c r="A7" s="89" t="s">
        <v>4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89" t="s">
        <v>169</v>
      </c>
      <c r="B8" s="90"/>
      <c r="C8" s="90"/>
      <c r="D8" s="90"/>
      <c r="E8" s="90"/>
      <c r="F8" s="90"/>
      <c r="G8" s="90"/>
      <c r="H8" s="90"/>
      <c r="I8" s="90"/>
      <c r="J8" s="90"/>
    </row>
    <row r="9" spans="1:13" ht="12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 t="s">
        <v>83</v>
      </c>
      <c r="K9" s="4" t="s">
        <v>83</v>
      </c>
      <c r="L9" s="33" t="s">
        <v>83</v>
      </c>
      <c r="M9" s="4" t="s">
        <v>83</v>
      </c>
    </row>
    <row r="10" spans="10:12" ht="12">
      <c r="J10" s="5" t="s">
        <v>5</v>
      </c>
      <c r="L10" s="34" t="s">
        <v>122</v>
      </c>
    </row>
    <row r="11" spans="2:12" ht="12">
      <c r="B11" s="69" t="s">
        <v>168</v>
      </c>
      <c r="J11" s="4" t="s">
        <v>83</v>
      </c>
      <c r="L11" s="33" t="s">
        <v>83</v>
      </c>
    </row>
    <row r="13" spans="1:12" ht="12">
      <c r="A13" s="5" t="s">
        <v>6</v>
      </c>
      <c r="B13" s="1" t="s">
        <v>123</v>
      </c>
      <c r="J13" s="35"/>
      <c r="L13" s="36"/>
    </row>
    <row r="15" spans="2:10" ht="12">
      <c r="B15" s="1" t="s">
        <v>7</v>
      </c>
      <c r="J15" s="12"/>
    </row>
    <row r="16" spans="2:10" ht="12">
      <c r="B16" s="1" t="s">
        <v>164</v>
      </c>
      <c r="J16" s="12"/>
    </row>
    <row r="17" ht="12">
      <c r="J17" s="12"/>
    </row>
    <row r="18" ht="12">
      <c r="J18" s="12"/>
    </row>
    <row r="20" spans="1:12" ht="12">
      <c r="A20" s="5" t="s">
        <v>8</v>
      </c>
      <c r="B20" s="1" t="s">
        <v>9</v>
      </c>
      <c r="J20" s="37"/>
      <c r="L20" s="36"/>
    </row>
    <row r="22" ht="12">
      <c r="B22" s="1" t="s">
        <v>10</v>
      </c>
    </row>
    <row r="23" ht="12">
      <c r="B23" s="1" t="s">
        <v>11</v>
      </c>
    </row>
    <row r="24" ht="12">
      <c r="B24" s="1" t="s">
        <v>12</v>
      </c>
    </row>
    <row r="25" ht="12">
      <c r="B25" s="1" t="s">
        <v>13</v>
      </c>
    </row>
    <row r="49" ht="24">
      <c r="F49" s="85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2" top="1" bottom="1" header="0.5" footer="0.5"/>
  <pageSetup fitToHeight="1" fitToWidth="1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workbookViewId="0" topLeftCell="A1">
      <selection activeCell="H6" sqref="H6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1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89" t="s">
        <v>14</v>
      </c>
      <c r="B1" s="90"/>
      <c r="C1" s="90"/>
      <c r="D1" s="90"/>
      <c r="E1" s="90"/>
      <c r="F1" s="89" t="s">
        <v>75</v>
      </c>
      <c r="G1" s="90"/>
      <c r="H1" s="90"/>
      <c r="I1" s="90"/>
    </row>
    <row r="2" spans="1:9" ht="12.75">
      <c r="A2" s="89" t="s">
        <v>15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0"/>
      <c r="B3" s="90"/>
      <c r="C3" s="90"/>
      <c r="D3" s="90"/>
      <c r="E3" s="90"/>
      <c r="F3" s="90"/>
      <c r="G3" s="90"/>
      <c r="H3" s="90"/>
      <c r="I3" s="90"/>
    </row>
    <row r="4" spans="1:9" ht="12.75">
      <c r="A4" s="89" t="str">
        <f>'F-1'!A4</f>
        <v>Company:  Utilities, Inc. of Florida (626-Summertree)</v>
      </c>
      <c r="B4" s="90"/>
      <c r="C4" s="90"/>
      <c r="D4" s="90"/>
      <c r="E4" s="90"/>
      <c r="F4" s="90"/>
      <c r="G4" s="90"/>
      <c r="H4" s="89" t="s">
        <v>16</v>
      </c>
      <c r="I4" s="90"/>
    </row>
    <row r="5" spans="1:9" ht="12.75">
      <c r="A5" s="89" t="str">
        <f>'F-1'!A5</f>
        <v>Docket No.: 0602353-WS</v>
      </c>
      <c r="B5" s="90"/>
      <c r="C5" s="90"/>
      <c r="D5" s="90"/>
      <c r="E5" s="90"/>
      <c r="F5" s="90"/>
      <c r="G5" s="90"/>
      <c r="H5" s="89" t="s">
        <v>78</v>
      </c>
      <c r="I5" s="90"/>
    </row>
    <row r="6" spans="1:9" ht="12.75">
      <c r="A6" s="89" t="str">
        <f>'F-1'!A6</f>
        <v>Test Year Ended:  December 31, 2005</v>
      </c>
      <c r="B6" s="90"/>
      <c r="C6" s="90"/>
      <c r="D6" s="90"/>
      <c r="E6" s="90"/>
      <c r="F6" s="90"/>
      <c r="G6" s="90"/>
      <c r="H6" s="89" t="str">
        <f>'F-1'!J5</f>
        <v>Preparer:  Seidman, F.</v>
      </c>
      <c r="I6" s="90"/>
    </row>
    <row r="7" spans="1:9" ht="12.75">
      <c r="A7" s="90"/>
      <c r="B7" s="90"/>
      <c r="C7" s="90"/>
      <c r="D7" s="90"/>
      <c r="E7" s="90"/>
      <c r="F7" s="90"/>
      <c r="G7" s="90"/>
      <c r="H7" s="90"/>
      <c r="I7" s="90"/>
    </row>
    <row r="8" spans="1:9" ht="12.75">
      <c r="A8" s="89" t="s">
        <v>17</v>
      </c>
      <c r="B8" s="90"/>
      <c r="C8" s="90"/>
      <c r="D8" s="90"/>
      <c r="E8" s="90"/>
      <c r="F8" s="90"/>
      <c r="G8" s="90"/>
      <c r="H8" s="90"/>
      <c r="I8" s="90"/>
    </row>
    <row r="9" spans="1:9" ht="12.75">
      <c r="A9" s="89" t="s">
        <v>18</v>
      </c>
      <c r="B9" s="90"/>
      <c r="C9" s="90"/>
      <c r="D9" s="90"/>
      <c r="E9" s="90"/>
      <c r="F9" s="90"/>
      <c r="G9" s="90"/>
      <c r="H9" s="90"/>
      <c r="I9" s="90"/>
    </row>
    <row r="10" spans="1:9" ht="12.75">
      <c r="A10" s="89" t="s">
        <v>19</v>
      </c>
      <c r="B10" s="90"/>
      <c r="C10" s="90"/>
      <c r="D10" s="90"/>
      <c r="E10" s="90"/>
      <c r="F10" s="90"/>
      <c r="G10" s="90"/>
      <c r="H10" s="90"/>
      <c r="I10" s="90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52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10" s="44" customFormat="1" ht="12.75">
      <c r="A16" s="42"/>
      <c r="B16" s="44" t="s">
        <v>129</v>
      </c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130</v>
      </c>
      <c r="E18" s="45"/>
      <c r="I18" s="63">
        <f>120+550+300+300</f>
        <v>1270</v>
      </c>
      <c r="J18" t="s">
        <v>131</v>
      </c>
    </row>
    <row r="19" spans="1:10" s="44" customFormat="1" ht="12.75">
      <c r="A19" s="42"/>
      <c r="B19" s="44" t="s">
        <v>132</v>
      </c>
      <c r="E19" s="45"/>
      <c r="I19" s="63">
        <f>+I18-550</f>
        <v>720</v>
      </c>
      <c r="J19" s="61" t="s">
        <v>131</v>
      </c>
    </row>
    <row r="20" spans="1:10" s="44" customFormat="1" ht="12.75">
      <c r="A20" s="42"/>
      <c r="I20" s="63"/>
      <c r="J20"/>
    </row>
    <row r="21" spans="1:10" s="44" customFormat="1" ht="12.75">
      <c r="A21" s="42"/>
      <c r="B21" s="44" t="s">
        <v>133</v>
      </c>
      <c r="I21" s="63">
        <v>0</v>
      </c>
      <c r="J21" s="62" t="s">
        <v>134</v>
      </c>
    </row>
    <row r="22" spans="1:10" s="44" customFormat="1" ht="12.75">
      <c r="A22" s="42"/>
      <c r="B22" s="44" t="s">
        <v>135</v>
      </c>
      <c r="I22" s="63">
        <f>0.9*I21</f>
        <v>0</v>
      </c>
      <c r="J22" s="62" t="s">
        <v>134</v>
      </c>
    </row>
    <row r="23" spans="1:10" s="44" customFormat="1" ht="12.75">
      <c r="A23" s="42"/>
      <c r="B23" s="44" t="s">
        <v>136</v>
      </c>
      <c r="I23" s="63">
        <f>5000+7500+7500</f>
        <v>20000</v>
      </c>
      <c r="J23" s="62" t="s">
        <v>134</v>
      </c>
    </row>
    <row r="24" spans="1:10" s="44" customFormat="1" ht="12.75">
      <c r="A24" s="42"/>
      <c r="B24" s="44" t="s">
        <v>137</v>
      </c>
      <c r="I24" s="63">
        <f>+I23/3</f>
        <v>6666.666666666667</v>
      </c>
      <c r="J24" s="62" t="s">
        <v>134</v>
      </c>
    </row>
    <row r="25" spans="1:10" s="44" customFormat="1" ht="12.75">
      <c r="A25" s="42"/>
      <c r="B25" s="44" t="s">
        <v>138</v>
      </c>
      <c r="I25" s="63">
        <f>+I22+I24</f>
        <v>6666.666666666667</v>
      </c>
      <c r="J25" s="62" t="s">
        <v>134</v>
      </c>
    </row>
    <row r="26" spans="1:10" s="44" customFormat="1" ht="12.75">
      <c r="A26" s="42"/>
      <c r="I26" s="63"/>
      <c r="J26"/>
    </row>
    <row r="27" spans="1:10" s="44" customFormat="1" ht="12.75">
      <c r="A27" s="42"/>
      <c r="I27" s="63"/>
      <c r="J27"/>
    </row>
    <row r="28" spans="1:10" s="44" customFormat="1" ht="12.75">
      <c r="A28" s="42"/>
      <c r="B28" s="44" t="s">
        <v>139</v>
      </c>
      <c r="I28" s="63">
        <v>0</v>
      </c>
      <c r="J28" t="s">
        <v>131</v>
      </c>
    </row>
    <row r="29" spans="1:10" s="44" customFormat="1" ht="12.75">
      <c r="A29" s="42"/>
      <c r="I29" s="64"/>
      <c r="J29"/>
    </row>
    <row r="30" spans="1:10" s="44" customFormat="1" ht="12.75">
      <c r="A30" s="42"/>
      <c r="B30" s="44" t="s">
        <v>140</v>
      </c>
      <c r="I30" s="63">
        <f>'F-3'!K30</f>
        <v>316000</v>
      </c>
      <c r="J30" t="s">
        <v>141</v>
      </c>
    </row>
    <row r="31" spans="1:10" s="44" customFormat="1" ht="12.75">
      <c r="A31" s="42"/>
      <c r="B31" s="44" t="s">
        <v>142</v>
      </c>
      <c r="I31" s="63">
        <f>'F-3'!K26</f>
        <v>362000</v>
      </c>
      <c r="J31" t="s">
        <v>141</v>
      </c>
    </row>
    <row r="32" spans="1:10" s="44" customFormat="1" ht="12.75">
      <c r="A32" s="42"/>
      <c r="B32" s="44" t="s">
        <v>143</v>
      </c>
      <c r="G32" s="63"/>
      <c r="I32" s="63">
        <f>2*I31</f>
        <v>724000</v>
      </c>
      <c r="J32" t="s">
        <v>141</v>
      </c>
    </row>
    <row r="33" spans="1:10" s="44" customFormat="1" ht="12.75">
      <c r="A33" s="42"/>
      <c r="D33" s="44" t="s">
        <v>216</v>
      </c>
      <c r="F33" s="64"/>
      <c r="I33" s="63">
        <f>I32/1440</f>
        <v>502.77777777777777</v>
      </c>
      <c r="J33" t="s">
        <v>131</v>
      </c>
    </row>
    <row r="34" spans="1:10" s="44" customFormat="1" ht="12.75">
      <c r="A34" s="42"/>
      <c r="I34" s="63"/>
      <c r="J34"/>
    </row>
    <row r="35" spans="1:10" s="44" customFormat="1" ht="12.75">
      <c r="A35" s="42"/>
      <c r="B35" s="44" t="s">
        <v>144</v>
      </c>
      <c r="E35" s="44" t="s">
        <v>190</v>
      </c>
      <c r="I35" s="63">
        <f>1000*60*2</f>
        <v>120000</v>
      </c>
      <c r="J35" t="s">
        <v>141</v>
      </c>
    </row>
    <row r="36" spans="1:10" s="44" customFormat="1" ht="12.75">
      <c r="A36" s="42"/>
      <c r="I36" s="63"/>
      <c r="J36"/>
    </row>
    <row r="37" spans="1:10" s="44" customFormat="1" ht="12.75">
      <c r="A37" s="42"/>
      <c r="B37" s="44" t="s">
        <v>145</v>
      </c>
      <c r="E37" s="45">
        <f>'F-1'!M33</f>
        <v>0.05921831590277666</v>
      </c>
      <c r="F37" s="44" t="s">
        <v>146</v>
      </c>
      <c r="I37" s="63">
        <f>'F-1'!K33/365*10^6</f>
        <v>11153.972602739721</v>
      </c>
      <c r="J37" t="s">
        <v>147</v>
      </c>
    </row>
    <row r="38" spans="1:10" s="44" customFormat="1" ht="12.75">
      <c r="A38" s="42"/>
      <c r="B38" s="44" t="s">
        <v>148</v>
      </c>
      <c r="E38" s="45">
        <v>0.125</v>
      </c>
      <c r="I38" s="63">
        <f>('F-1'!C33/365*10^6)*0.125</f>
        <v>23544.178082191782</v>
      </c>
      <c r="J38" t="s">
        <v>147</v>
      </c>
    </row>
    <row r="39" spans="1:10" s="44" customFormat="1" ht="12.75">
      <c r="A39" s="42"/>
      <c r="B39" s="44" t="s">
        <v>149</v>
      </c>
      <c r="I39" s="63">
        <f>IF(I37&lt;I38,0,I37-I38)</f>
        <v>0</v>
      </c>
      <c r="J39" t="s">
        <v>147</v>
      </c>
    </row>
    <row r="40" spans="1:10" s="44" customFormat="1" ht="12.75">
      <c r="A40" s="42"/>
      <c r="J40"/>
    </row>
    <row r="41" spans="1:10" s="44" customFormat="1" ht="12.75">
      <c r="A41" s="42"/>
      <c r="B41" s="70" t="s">
        <v>171</v>
      </c>
      <c r="C41" s="70"/>
      <c r="D41" s="70"/>
      <c r="J41"/>
    </row>
    <row r="42" spans="1:10" s="44" customFormat="1" ht="12.75">
      <c r="A42" s="42"/>
      <c r="B42" s="44" t="s">
        <v>213</v>
      </c>
      <c r="J42"/>
    </row>
    <row r="43" spans="1:10" s="44" customFormat="1" ht="12.75">
      <c r="A43" s="42"/>
      <c r="B43" s="44" t="s">
        <v>192</v>
      </c>
      <c r="J43"/>
    </row>
    <row r="44" spans="1:10" s="44" customFormat="1" ht="12.75">
      <c r="A44" s="42"/>
      <c r="B44" s="44" t="s">
        <v>193</v>
      </c>
      <c r="J44"/>
    </row>
    <row r="45" spans="1:10" s="44" customFormat="1" ht="12.75">
      <c r="A45" s="42"/>
      <c r="B45" s="44" t="s">
        <v>194</v>
      </c>
      <c r="J45"/>
    </row>
    <row r="46" spans="1:10" s="44" customFormat="1" ht="12.75">
      <c r="A46" s="42"/>
      <c r="B46" s="44" t="s">
        <v>196</v>
      </c>
      <c r="J46"/>
    </row>
    <row r="47" spans="1:10" s="44" customFormat="1" ht="12.75">
      <c r="A47" s="42"/>
      <c r="B47" s="44" t="s">
        <v>195</v>
      </c>
      <c r="J47"/>
    </row>
    <row r="48" spans="1:10" s="44" customFormat="1" ht="12.75">
      <c r="A48" s="42"/>
      <c r="J48"/>
    </row>
    <row r="49" spans="1:10" s="44" customFormat="1" ht="12.75">
      <c r="A49" s="42"/>
      <c r="B49" s="44" t="s">
        <v>174</v>
      </c>
      <c r="J49"/>
    </row>
    <row r="50" spans="1:10" s="44" customFormat="1" ht="12.75">
      <c r="A50" s="42"/>
      <c r="B50" s="44" t="s">
        <v>170</v>
      </c>
      <c r="J50"/>
    </row>
    <row r="51" spans="1:10" s="44" customFormat="1" ht="12.75">
      <c r="A51" s="42"/>
      <c r="B51" s="44" t="s">
        <v>214</v>
      </c>
      <c r="I51" s="45"/>
      <c r="J51"/>
    </row>
    <row r="52" spans="1:10" s="44" customFormat="1" ht="12.75">
      <c r="A52" s="42"/>
      <c r="B52" s="44" t="s">
        <v>215</v>
      </c>
      <c r="J52"/>
    </row>
    <row r="53" spans="1:10" s="44" customFormat="1" ht="12.75">
      <c r="A53" s="42"/>
      <c r="J53"/>
    </row>
    <row r="54" spans="1:10" s="44" customFormat="1" ht="12.75">
      <c r="A54" s="42"/>
      <c r="B54" s="44" t="s">
        <v>173</v>
      </c>
      <c r="I54" s="45">
        <f>IF((I56+I57+I58-I59)/I60&gt;1,1,(I56+I57+I58-I59)/I60)</f>
        <v>1</v>
      </c>
      <c r="J54"/>
    </row>
    <row r="55" spans="1:10" s="44" customFormat="1" ht="12.75">
      <c r="A55" s="42"/>
      <c r="J55"/>
    </row>
    <row r="56" spans="1:10" ht="18" customHeight="1">
      <c r="A56" s="42"/>
      <c r="B56" s="44" t="s">
        <v>172</v>
      </c>
      <c r="C56" s="44" t="s">
        <v>150</v>
      </c>
      <c r="D56" s="44"/>
      <c r="E56" s="44"/>
      <c r="F56" s="44"/>
      <c r="G56" s="44"/>
      <c r="H56" s="44"/>
      <c r="I56" s="63">
        <f>+I33</f>
        <v>502.77777777777777</v>
      </c>
      <c r="J56" t="s">
        <v>131</v>
      </c>
    </row>
    <row r="57" spans="1:10" s="44" customFormat="1" ht="12.75">
      <c r="A57" s="42"/>
      <c r="B57" s="44" t="s">
        <v>151</v>
      </c>
      <c r="C57" s="44" t="s">
        <v>209</v>
      </c>
      <c r="I57" s="64">
        <f>'F-8'!H25</f>
        <v>109.97648916627668</v>
      </c>
      <c r="J57" t="s">
        <v>131</v>
      </c>
    </row>
    <row r="58" spans="1:10" s="44" customFormat="1" ht="12.75">
      <c r="A58" s="42"/>
      <c r="B58" s="44" t="s">
        <v>152</v>
      </c>
      <c r="C58" s="44" t="s">
        <v>153</v>
      </c>
      <c r="I58" s="63">
        <f>+I35/120</f>
        <v>1000</v>
      </c>
      <c r="J58" t="s">
        <v>131</v>
      </c>
    </row>
    <row r="59" spans="1:10" s="44" customFormat="1" ht="12.75">
      <c r="A59" s="42"/>
      <c r="B59" s="44" t="s">
        <v>154</v>
      </c>
      <c r="C59" s="44" t="s">
        <v>155</v>
      </c>
      <c r="I59" s="71">
        <f>+I39/1440</f>
        <v>0</v>
      </c>
      <c r="J59" t="s">
        <v>131</v>
      </c>
    </row>
    <row r="60" spans="1:10" s="44" customFormat="1" ht="12.75">
      <c r="A60" s="42"/>
      <c r="B60" s="44" t="s">
        <v>156</v>
      </c>
      <c r="C60" s="44" t="s">
        <v>157</v>
      </c>
      <c r="I60" s="63">
        <f>+I19</f>
        <v>720</v>
      </c>
      <c r="J60" t="s">
        <v>131</v>
      </c>
    </row>
    <row r="61" spans="1:10" s="44" customFormat="1" ht="12.75">
      <c r="A61" s="42"/>
      <c r="J61"/>
    </row>
    <row r="62" spans="1:10" s="44" customFormat="1" ht="18.75">
      <c r="A62" s="10"/>
      <c r="B62" s="2"/>
      <c r="C62" s="2"/>
      <c r="D62" s="2"/>
      <c r="E62" s="2"/>
      <c r="F62" s="11"/>
      <c r="G62" s="11"/>
      <c r="H62" s="11"/>
      <c r="I62" s="2"/>
      <c r="J62" s="2"/>
    </row>
    <row r="63" spans="1:10" s="44" customFormat="1" ht="12.75">
      <c r="A63" s="42"/>
      <c r="B63" s="44" t="s">
        <v>158</v>
      </c>
      <c r="J63"/>
    </row>
    <row r="64" spans="1:10" s="44" customFormat="1" ht="12.75">
      <c r="A64" s="42"/>
      <c r="B64" s="44" t="s">
        <v>175</v>
      </c>
      <c r="J64"/>
    </row>
    <row r="65" spans="5:6" ht="12.75" hidden="1">
      <c r="E65" s="9"/>
      <c r="F65"/>
    </row>
    <row r="66" ht="12" hidden="1">
      <c r="E66" s="9"/>
    </row>
    <row r="69" ht="24">
      <c r="F69" s="85"/>
    </row>
    <row r="105" ht="12">
      <c r="F105" s="9">
        <v>68</v>
      </c>
    </row>
  </sheetData>
  <printOptions/>
  <pageMargins left="0.75" right="0.5" top="1" bottom="1" header="0.5" footer="0.5"/>
  <pageSetup fitToHeight="1" fitToWidth="1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D19" sqref="D19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.75">
      <c r="A1" s="89" t="s">
        <v>14</v>
      </c>
      <c r="B1" s="90"/>
      <c r="C1" s="90"/>
      <c r="D1" s="90"/>
      <c r="E1" s="90"/>
      <c r="F1" s="90"/>
      <c r="G1" s="89" t="s">
        <v>53</v>
      </c>
    </row>
    <row r="2" spans="1:7" ht="12.75">
      <c r="A2" s="89" t="s">
        <v>54</v>
      </c>
      <c r="B2" s="90"/>
      <c r="C2" s="90"/>
      <c r="D2" s="90"/>
      <c r="E2" s="90"/>
      <c r="F2" s="90"/>
      <c r="G2" s="90"/>
    </row>
    <row r="3" spans="1:7" ht="12.75">
      <c r="A3" s="90"/>
      <c r="B3" s="90"/>
      <c r="C3" s="90"/>
      <c r="D3" s="90"/>
      <c r="E3" s="90"/>
      <c r="F3" s="90"/>
      <c r="G3" s="90"/>
    </row>
    <row r="4" spans="1:7" ht="12.75">
      <c r="A4" s="89" t="str">
        <f>'F-1'!A4</f>
        <v>Company:  Utilities, Inc. of Florida (626-Summertree)</v>
      </c>
      <c r="B4" s="90"/>
      <c r="C4" s="90"/>
      <c r="D4" s="90"/>
      <c r="E4" s="90"/>
      <c r="F4" s="90"/>
      <c r="G4" s="89" t="s">
        <v>55</v>
      </c>
    </row>
    <row r="5" spans="1:7" ht="12.75">
      <c r="A5" s="89" t="str">
        <f>'F-1'!A5</f>
        <v>Docket No.: 0602353-WS</v>
      </c>
      <c r="B5" s="90"/>
      <c r="C5" s="90"/>
      <c r="D5" s="90"/>
      <c r="E5" s="90"/>
      <c r="F5" s="90"/>
      <c r="G5" s="89" t="s">
        <v>78</v>
      </c>
    </row>
    <row r="6" spans="1:7" ht="12.75">
      <c r="A6" s="89" t="str">
        <f>'F-1'!A6</f>
        <v>Test Year Ended:  December 31, 2005</v>
      </c>
      <c r="B6" s="89"/>
      <c r="C6" s="92"/>
      <c r="D6" s="95"/>
      <c r="E6" s="90"/>
      <c r="F6" s="90"/>
      <c r="G6" s="89" t="str">
        <f>'F-1'!J5</f>
        <v>Preparer:  Seidman, F.</v>
      </c>
    </row>
    <row r="7" spans="1:7" ht="12.75">
      <c r="A7" s="90"/>
      <c r="B7" s="90"/>
      <c r="C7" s="90"/>
      <c r="D7" s="90"/>
      <c r="E7" s="90"/>
      <c r="F7" s="90"/>
      <c r="G7" s="90"/>
    </row>
    <row r="8" spans="1:7" ht="12.75">
      <c r="A8" s="89" t="s">
        <v>17</v>
      </c>
      <c r="B8" s="90"/>
      <c r="C8" s="90"/>
      <c r="D8" s="90"/>
      <c r="E8" s="90"/>
      <c r="F8" s="90"/>
      <c r="G8" s="90"/>
    </row>
    <row r="9" spans="1:7" ht="12.75">
      <c r="A9" s="89" t="s">
        <v>56</v>
      </c>
      <c r="B9" s="90"/>
      <c r="C9" s="90"/>
      <c r="D9" s="90"/>
      <c r="E9" s="90"/>
      <c r="F9" s="90"/>
      <c r="G9" s="90"/>
    </row>
    <row r="10" spans="1:7" ht="12.75">
      <c r="A10" s="89" t="s">
        <v>57</v>
      </c>
      <c r="B10" s="90"/>
      <c r="C10" s="90"/>
      <c r="D10" s="90"/>
      <c r="E10" s="90"/>
      <c r="F10" s="90"/>
      <c r="G10" s="90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58</v>
      </c>
      <c r="G13"/>
      <c r="I13"/>
    </row>
    <row r="14" spans="1:9" ht="12">
      <c r="A14" s="1"/>
      <c r="I14" s="4"/>
    </row>
    <row r="15" ht="12.75">
      <c r="D15" s="69" t="s">
        <v>168</v>
      </c>
    </row>
    <row r="16" ht="12.75"/>
    <row r="17" ht="12.75">
      <c r="D17" t="s">
        <v>187</v>
      </c>
    </row>
    <row r="18" ht="12.75">
      <c r="D18" t="s">
        <v>220</v>
      </c>
    </row>
    <row r="19" ht="12.75">
      <c r="D19" t="s">
        <v>219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6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9" t="s">
        <v>14</v>
      </c>
      <c r="B1" s="90"/>
      <c r="C1" s="90"/>
      <c r="D1" s="90"/>
      <c r="E1" s="90"/>
      <c r="F1" s="90"/>
      <c r="G1" s="89" t="s">
        <v>75</v>
      </c>
      <c r="H1"/>
    </row>
    <row r="2" spans="1:8" ht="12.75">
      <c r="A2" s="89" t="s">
        <v>59</v>
      </c>
      <c r="B2" s="90"/>
      <c r="C2" s="90"/>
      <c r="D2" s="90"/>
      <c r="E2" s="90"/>
      <c r="F2" s="90"/>
      <c r="G2" s="90"/>
      <c r="H2"/>
    </row>
    <row r="3" spans="1:8" ht="12.75">
      <c r="A3" s="90"/>
      <c r="B3" s="90"/>
      <c r="C3" s="90"/>
      <c r="D3" s="90"/>
      <c r="E3" s="90"/>
      <c r="F3" s="90"/>
      <c r="G3" s="90"/>
      <c r="H3"/>
    </row>
    <row r="4" spans="1:8" ht="12.75">
      <c r="A4" s="89" t="str">
        <f>'F-1'!A4</f>
        <v>Company:  Utilities, Inc. of Florida (626-Summertree)</v>
      </c>
      <c r="B4" s="90"/>
      <c r="C4" s="90"/>
      <c r="D4" s="90"/>
      <c r="E4" s="90"/>
      <c r="F4" s="90"/>
      <c r="G4" s="89" t="s">
        <v>60</v>
      </c>
      <c r="H4"/>
    </row>
    <row r="5" spans="1:8" ht="12.75">
      <c r="A5" s="89" t="str">
        <f>'F-1'!A5</f>
        <v>Docket No.: 0602353-WS</v>
      </c>
      <c r="B5" s="90"/>
      <c r="C5" s="90"/>
      <c r="D5" s="90"/>
      <c r="E5" s="90"/>
      <c r="F5" s="90"/>
      <c r="G5" s="89" t="s">
        <v>78</v>
      </c>
      <c r="H5"/>
    </row>
    <row r="6" spans="1:8" ht="12.75">
      <c r="A6" s="89" t="str">
        <f>'F-1'!A6</f>
        <v>Test Year Ended:  December 31, 2005</v>
      </c>
      <c r="B6" s="90"/>
      <c r="C6" s="95"/>
      <c r="D6" s="90"/>
      <c r="E6" s="90"/>
      <c r="F6" s="90"/>
      <c r="G6" s="89" t="str">
        <f>'F-1'!J5</f>
        <v>Preparer:  Seidman, F.</v>
      </c>
      <c r="H6"/>
    </row>
    <row r="7" spans="1:7" ht="12.75">
      <c r="A7" s="90"/>
      <c r="B7" s="90"/>
      <c r="C7" s="90"/>
      <c r="D7" s="90"/>
      <c r="E7" s="90"/>
      <c r="F7" s="90"/>
      <c r="G7" s="90"/>
    </row>
    <row r="8" spans="1:7" ht="12.75">
      <c r="A8" s="89" t="s">
        <v>61</v>
      </c>
      <c r="B8" s="90"/>
      <c r="C8" s="90"/>
      <c r="D8" s="90"/>
      <c r="E8" s="90"/>
      <c r="F8" s="90"/>
      <c r="G8" s="90"/>
    </row>
    <row r="9" spans="1:7" ht="12.75">
      <c r="A9" s="89" t="s">
        <v>62</v>
      </c>
      <c r="B9" s="90"/>
      <c r="C9" s="90"/>
      <c r="D9" s="90"/>
      <c r="E9" s="90"/>
      <c r="F9" s="90"/>
      <c r="G9" s="90"/>
    </row>
    <row r="10" spans="1:7" ht="12.75">
      <c r="A10" s="89" t="s">
        <v>63</v>
      </c>
      <c r="B10" s="90"/>
      <c r="C10" s="90"/>
      <c r="D10" s="90"/>
      <c r="E10" s="90"/>
      <c r="F10" s="90"/>
      <c r="G10" s="90"/>
    </row>
    <row r="11" spans="1:7" ht="12.75">
      <c r="A11" s="89" t="s">
        <v>64</v>
      </c>
      <c r="B11" s="90"/>
      <c r="C11" s="90"/>
      <c r="D11" s="90"/>
      <c r="E11" s="90"/>
      <c r="F11" s="90"/>
      <c r="G11" s="90"/>
    </row>
    <row r="12" spans="1:7" ht="12.75">
      <c r="A12" s="89" t="s">
        <v>65</v>
      </c>
      <c r="B12" s="90"/>
      <c r="C12" s="90"/>
      <c r="D12" s="90"/>
      <c r="E12" s="90"/>
      <c r="F12" s="90"/>
      <c r="G12" s="90"/>
    </row>
    <row r="13" spans="1:7" ht="12.75">
      <c r="A13" s="89" t="s">
        <v>66</v>
      </c>
      <c r="B13" s="90"/>
      <c r="C13" s="90"/>
      <c r="D13" s="90"/>
      <c r="E13" s="90"/>
      <c r="F13" s="90"/>
      <c r="G13" s="90"/>
    </row>
    <row r="14" spans="1:7" ht="12.75">
      <c r="A14" s="89" t="s">
        <v>67</v>
      </c>
      <c r="B14" s="90"/>
      <c r="C14" s="90"/>
      <c r="D14" s="90"/>
      <c r="E14" s="90"/>
      <c r="F14" s="90"/>
      <c r="G14" s="90"/>
    </row>
    <row r="15" spans="1:10" ht="12">
      <c r="A15" s="4" t="s">
        <v>83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</row>
    <row r="17" spans="1:9" ht="12.75">
      <c r="A17" s="1" t="s">
        <v>68</v>
      </c>
      <c r="G17" s="47"/>
      <c r="H17" s="47"/>
      <c r="I17"/>
    </row>
    <row r="19" ht="12.75"/>
    <row r="20" ht="12.75"/>
    <row r="21" ht="12.75">
      <c r="C21" s="70" t="s">
        <v>199</v>
      </c>
    </row>
    <row r="22" ht="12.75">
      <c r="C22" t="s">
        <v>221</v>
      </c>
    </row>
    <row r="23" ht="12.75">
      <c r="C23" t="s">
        <v>222</v>
      </c>
    </row>
    <row r="24" ht="12.75">
      <c r="C24" t="s">
        <v>197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6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2">
      <selection activeCell="H25" sqref="H25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9" t="s">
        <v>69</v>
      </c>
      <c r="B1" s="90"/>
      <c r="C1" s="90"/>
      <c r="D1" s="90"/>
      <c r="E1" s="90"/>
      <c r="F1" s="90"/>
      <c r="G1" s="90"/>
      <c r="H1" s="89" t="s">
        <v>75</v>
      </c>
    </row>
    <row r="2" spans="1:8" ht="12.75">
      <c r="A2" s="90"/>
      <c r="B2" s="90"/>
      <c r="C2" s="90"/>
      <c r="D2" s="90"/>
      <c r="E2" s="90"/>
      <c r="F2" s="90"/>
      <c r="G2" s="90"/>
      <c r="H2" s="90"/>
    </row>
    <row r="3" spans="1:8" ht="12.75">
      <c r="A3" s="89" t="str">
        <f>'F-1'!A4</f>
        <v>Company:  Utilities, Inc. of Florida (626-Summertree)</v>
      </c>
      <c r="B3" s="90"/>
      <c r="C3" s="90"/>
      <c r="D3" s="90"/>
      <c r="E3" s="90"/>
      <c r="F3" s="90"/>
      <c r="G3" s="90"/>
      <c r="H3" s="89" t="s">
        <v>70</v>
      </c>
    </row>
    <row r="4" spans="1:8" ht="12.75">
      <c r="A4" s="89" t="str">
        <f>'F-1'!A5</f>
        <v>Docket No.: 0602353-WS</v>
      </c>
      <c r="B4" s="90"/>
      <c r="C4" s="90"/>
      <c r="D4" s="90"/>
      <c r="E4" s="90"/>
      <c r="F4" s="90"/>
      <c r="G4" s="90"/>
      <c r="H4" s="89" t="s">
        <v>78</v>
      </c>
    </row>
    <row r="5" spans="1:8" ht="12.75">
      <c r="A5" s="89" t="str">
        <f>'F-1'!A6</f>
        <v>Test Year Ended:  December 31, 2005</v>
      </c>
      <c r="B5" s="90"/>
      <c r="C5" s="92"/>
      <c r="D5" s="90"/>
      <c r="E5" s="90"/>
      <c r="F5" s="90"/>
      <c r="G5" s="90"/>
      <c r="H5" s="89" t="str">
        <f>'F-1'!J5</f>
        <v>Preparer:  Seidman, F.</v>
      </c>
    </row>
    <row r="6" spans="1:8" ht="12.75">
      <c r="A6" s="90"/>
      <c r="B6" s="90"/>
      <c r="C6" s="90"/>
      <c r="D6" s="90"/>
      <c r="E6" s="90"/>
      <c r="F6" s="90"/>
      <c r="G6" s="90"/>
      <c r="H6" s="90"/>
    </row>
    <row r="7" spans="1:8" ht="12.75">
      <c r="A7" s="89" t="s">
        <v>71</v>
      </c>
      <c r="B7" s="90"/>
      <c r="C7" s="90"/>
      <c r="D7" s="90"/>
      <c r="E7" s="90"/>
      <c r="F7" s="90"/>
      <c r="G7" s="90"/>
      <c r="H7" s="90"/>
    </row>
    <row r="8" spans="1:8" ht="12.75">
      <c r="A8" s="89" t="s">
        <v>72</v>
      </c>
      <c r="B8" s="90"/>
      <c r="C8" s="90"/>
      <c r="D8" s="90"/>
      <c r="E8" s="90"/>
      <c r="F8" s="90"/>
      <c r="G8" s="90"/>
      <c r="H8" s="90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73</v>
      </c>
      <c r="G12"/>
      <c r="I12" s="49"/>
    </row>
    <row r="15" ht="12.75"/>
    <row r="16" ht="12.75"/>
    <row r="17" ht="12.75">
      <c r="B17" s="70" t="s">
        <v>198</v>
      </c>
    </row>
    <row r="18" ht="12.75"/>
    <row r="19" spans="2:4" ht="12.75">
      <c r="B19" t="s">
        <v>176</v>
      </c>
      <c r="D19" s="2"/>
    </row>
    <row r="20" ht="12.75">
      <c r="D20" s="2"/>
    </row>
    <row r="21" spans="2:4" ht="12.75">
      <c r="B21" t="s">
        <v>177</v>
      </c>
      <c r="D21" s="2"/>
    </row>
    <row r="22" spans="2:10" ht="12.75">
      <c r="B22" t="s">
        <v>178</v>
      </c>
      <c r="C22" t="s">
        <v>179</v>
      </c>
      <c r="D22" s="2"/>
      <c r="G22" s="2"/>
      <c r="H22" s="96">
        <f>'F-9'!Q38</f>
        <v>92.17304004924453</v>
      </c>
      <c r="I22" t="s">
        <v>38</v>
      </c>
      <c r="J22" s="2"/>
    </row>
    <row r="23" spans="2:10" ht="12.75">
      <c r="B23" t="s">
        <v>180</v>
      </c>
      <c r="C23" t="s">
        <v>184</v>
      </c>
      <c r="D23" s="2"/>
      <c r="G23" s="2"/>
      <c r="H23">
        <v>5</v>
      </c>
      <c r="I23" t="s">
        <v>185</v>
      </c>
      <c r="J23" s="2"/>
    </row>
    <row r="24" spans="2:10" ht="12.75">
      <c r="B24" t="s">
        <v>181</v>
      </c>
      <c r="C24" t="s">
        <v>183</v>
      </c>
      <c r="D24" s="2"/>
      <c r="G24" s="2"/>
      <c r="H24" s="98">
        <f>'F-5'!I56/'F-9'!Q25</f>
        <v>0.23863049131833006</v>
      </c>
      <c r="I24" t="s">
        <v>217</v>
      </c>
      <c r="J24" s="2"/>
    </row>
    <row r="25" spans="2:10" ht="12.75">
      <c r="B25" t="s">
        <v>186</v>
      </c>
      <c r="C25" t="s">
        <v>182</v>
      </c>
      <c r="D25" s="2"/>
      <c r="G25" s="2"/>
      <c r="H25" s="99">
        <f>+H22*H23*H24</f>
        <v>109.97648916627668</v>
      </c>
      <c r="I25" t="s">
        <v>131</v>
      </c>
      <c r="J25" s="2"/>
    </row>
    <row r="26" ht="12.75"/>
    <row r="27" ht="12.75">
      <c r="B27" s="97" t="s">
        <v>218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6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="75" zoomScaleNormal="75" workbookViewId="0" topLeftCell="A20">
      <selection activeCell="Q25" sqref="Q25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9.125" style="2" customWidth="1"/>
    <col min="8" max="8" width="1.75390625" style="2" customWidth="1"/>
    <col min="9" max="9" width="8.875" style="2" customWidth="1"/>
    <col min="10" max="10" width="1.75390625" style="2" customWidth="1"/>
    <col min="11" max="11" width="18.00390625" style="2" customWidth="1"/>
    <col min="12" max="12" width="1.75390625" style="2" customWidth="1"/>
    <col min="13" max="13" width="11.00390625" style="2" customWidth="1"/>
    <col min="14" max="14" width="1.75390625" style="2" customWidth="1"/>
    <col min="15" max="15" width="16.875" style="2" customWidth="1"/>
    <col min="16" max="16" width="4.625" style="2" customWidth="1"/>
    <col min="17" max="17" width="10.625" style="2" customWidth="1"/>
    <col min="18" max="18" width="1.75390625" style="2" customWidth="1"/>
    <col min="19" max="19" width="10.375" style="2" customWidth="1"/>
    <col min="20" max="205" width="8.75390625" style="2" customWidth="1"/>
    <col min="206" max="16384" width="10.75390625" style="2" customWidth="1"/>
  </cols>
  <sheetData>
    <row r="1" spans="1:13" ht="12.7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9" t="s">
        <v>75</v>
      </c>
    </row>
    <row r="2" spans="1:13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89" t="str">
        <f>'F-1'!A4</f>
        <v>Company:  Utilities, Inc. of Florida (626-Summertree)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9" t="s">
        <v>21</v>
      </c>
    </row>
    <row r="4" spans="1:13" ht="12.75">
      <c r="A4" s="89" t="str">
        <f>'F-1'!A5</f>
        <v>Docket No.: 0602353-WS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9" t="s">
        <v>78</v>
      </c>
    </row>
    <row r="5" spans="1:13" ht="12.75">
      <c r="A5" s="89" t="str">
        <f>'F-1'!A6</f>
        <v>Test Year Ended:  December 31, 2005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89" t="str">
        <f>'F-1'!J5</f>
        <v>Preparer:  Seidman, F.</v>
      </c>
    </row>
    <row r="6" spans="1:13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2.75">
      <c r="A7" s="89" t="s">
        <v>22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2.75">
      <c r="A8" s="89" t="s">
        <v>23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12.75">
      <c r="A9" s="89" t="s">
        <v>24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84</v>
      </c>
      <c r="E11" s="56" t="s">
        <v>85</v>
      </c>
      <c r="G11" s="56" t="s">
        <v>86</v>
      </c>
      <c r="H11" s="5"/>
      <c r="I11" s="56" t="s">
        <v>87</v>
      </c>
      <c r="K11" s="56" t="s">
        <v>88</v>
      </c>
      <c r="L11" s="5"/>
      <c r="M11" s="56" t="s">
        <v>89</v>
      </c>
      <c r="N11" s="5"/>
      <c r="O11" s="56" t="s">
        <v>36</v>
      </c>
      <c r="P11" s="5"/>
      <c r="Q11" s="56" t="s">
        <v>37</v>
      </c>
      <c r="R11" s="5"/>
      <c r="S11" s="56" t="s">
        <v>40</v>
      </c>
    </row>
    <row r="12" spans="3:19" ht="12">
      <c r="C12" s="52"/>
      <c r="E12" s="100" t="s">
        <v>29</v>
      </c>
      <c r="F12" s="100"/>
      <c r="G12" s="100"/>
      <c r="H12" s="100"/>
      <c r="I12" s="100"/>
      <c r="K12" s="5" t="s">
        <v>33</v>
      </c>
      <c r="L12" s="5"/>
      <c r="M12" s="5" t="s">
        <v>34</v>
      </c>
      <c r="N12" s="5"/>
      <c r="O12" s="5" t="s">
        <v>104</v>
      </c>
      <c r="P12" s="5"/>
      <c r="Q12" s="5" t="s">
        <v>104</v>
      </c>
      <c r="R12" s="5"/>
      <c r="S12" s="5" t="s">
        <v>41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94</v>
      </c>
      <c r="L13" s="5"/>
      <c r="M13" s="5" t="s">
        <v>33</v>
      </c>
      <c r="N13" s="5"/>
      <c r="O13" s="5" t="s">
        <v>94</v>
      </c>
      <c r="P13" s="5"/>
      <c r="Q13" s="5" t="s">
        <v>38</v>
      </c>
      <c r="R13" s="5"/>
      <c r="S13" s="5" t="s">
        <v>42</v>
      </c>
    </row>
    <row r="14" spans="1:19" ht="12">
      <c r="A14" s="2" t="s">
        <v>28</v>
      </c>
      <c r="C14" s="5" t="s">
        <v>97</v>
      </c>
      <c r="E14" s="5" t="s">
        <v>30</v>
      </c>
      <c r="F14" s="5"/>
      <c r="G14" s="5" t="s">
        <v>31</v>
      </c>
      <c r="H14" s="5"/>
      <c r="I14" s="5" t="s">
        <v>32</v>
      </c>
      <c r="K14" s="5" t="s">
        <v>100</v>
      </c>
      <c r="L14" s="5"/>
      <c r="M14" s="5" t="s">
        <v>35</v>
      </c>
      <c r="N14" s="5"/>
      <c r="O14" s="5" t="s">
        <v>100</v>
      </c>
      <c r="P14" s="5"/>
      <c r="Q14" s="5" t="s">
        <v>39</v>
      </c>
      <c r="R14" s="5"/>
      <c r="S14" s="5" t="s">
        <v>43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2">
        <v>793</v>
      </c>
      <c r="F17" s="72"/>
      <c r="G17" s="72">
        <v>855</v>
      </c>
      <c r="H17" s="72"/>
      <c r="I17" s="72">
        <f>+(E17+G17)/2</f>
        <v>824</v>
      </c>
      <c r="J17" s="73"/>
      <c r="K17" s="72">
        <v>21078739</v>
      </c>
      <c r="L17" s="72"/>
      <c r="M17" s="72">
        <f>+K17/I17</f>
        <v>25580.993932038837</v>
      </c>
      <c r="N17" s="72"/>
      <c r="O17" s="72">
        <v>45692969</v>
      </c>
      <c r="P17" s="72"/>
      <c r="Q17" s="72">
        <f>+O17/M17</f>
        <v>1786.207725993476</v>
      </c>
      <c r="R17" s="74"/>
      <c r="S17" s="75"/>
    </row>
    <row r="18" spans="1:19" ht="15.75">
      <c r="A18" s="5"/>
      <c r="C18" s="5"/>
      <c r="E18" s="72"/>
      <c r="F18" s="72"/>
      <c r="G18" s="72"/>
      <c r="H18" s="72"/>
      <c r="I18" s="72"/>
      <c r="J18" s="73"/>
      <c r="K18" s="72"/>
      <c r="L18" s="72"/>
      <c r="M18" s="72"/>
      <c r="N18" s="72"/>
      <c r="O18" s="72"/>
      <c r="P18" s="72"/>
      <c r="Q18" s="72"/>
      <c r="R18" s="74"/>
      <c r="S18" s="75"/>
    </row>
    <row r="19" spans="1:19" ht="16.5">
      <c r="A19" s="5">
        <v>2</v>
      </c>
      <c r="C19" s="5">
        <v>2002</v>
      </c>
      <c r="E19" s="72">
        <f>G17</f>
        <v>855</v>
      </c>
      <c r="F19" s="72"/>
      <c r="G19" s="72">
        <v>899</v>
      </c>
      <c r="H19" s="76"/>
      <c r="I19" s="72">
        <f>+(E19+G19)/2</f>
        <v>877</v>
      </c>
      <c r="J19" s="73"/>
      <c r="K19" s="72">
        <v>22802475</v>
      </c>
      <c r="L19" s="72"/>
      <c r="M19" s="72">
        <f>+K19/I19</f>
        <v>26000.541619156214</v>
      </c>
      <c r="N19" s="72"/>
      <c r="O19" s="72">
        <v>38973795</v>
      </c>
      <c r="P19" s="72"/>
      <c r="Q19" s="72">
        <f>+O19/M19</f>
        <v>1498.960889771834</v>
      </c>
      <c r="R19" s="74"/>
      <c r="S19" s="75">
        <f>+(Q19/Q17)-1</f>
        <v>-0.16081379116299443</v>
      </c>
    </row>
    <row r="20" spans="1:19" ht="15.75">
      <c r="A20" s="5"/>
      <c r="C20" s="5"/>
      <c r="E20" s="72"/>
      <c r="F20" s="72"/>
      <c r="G20" s="72"/>
      <c r="H20" s="72"/>
      <c r="I20" s="72"/>
      <c r="J20" s="73"/>
      <c r="K20" s="72"/>
      <c r="L20" s="72"/>
      <c r="M20" s="72"/>
      <c r="N20" s="72"/>
      <c r="O20" s="72"/>
      <c r="P20" s="72"/>
      <c r="Q20" s="72"/>
      <c r="R20" s="74"/>
      <c r="S20" s="75"/>
    </row>
    <row r="21" spans="1:19" ht="15.75">
      <c r="A21" s="5">
        <v>3</v>
      </c>
      <c r="C21" s="5">
        <v>2003</v>
      </c>
      <c r="E21" s="72">
        <f>G19</f>
        <v>899</v>
      </c>
      <c r="F21" s="72"/>
      <c r="G21" s="72">
        <v>958</v>
      </c>
      <c r="H21" s="72"/>
      <c r="I21" s="72">
        <f>+(E21+G21)/2</f>
        <v>928.5</v>
      </c>
      <c r="J21" s="73"/>
      <c r="K21" s="72">
        <v>23197846</v>
      </c>
      <c r="L21" s="72"/>
      <c r="M21" s="72">
        <f>+K21/I21</f>
        <v>24984.217555196552</v>
      </c>
      <c r="N21" s="72"/>
      <c r="O21" s="72">
        <v>42349738</v>
      </c>
      <c r="P21" s="72"/>
      <c r="Q21" s="72">
        <f>+O21/M21</f>
        <v>1695.0596073876861</v>
      </c>
      <c r="R21" s="74"/>
      <c r="S21" s="75">
        <f>+(Q21/Q19)-1</f>
        <v>0.13082310482810633</v>
      </c>
    </row>
    <row r="22" spans="1:19" ht="15.75">
      <c r="A22" s="5"/>
      <c r="C22" s="5"/>
      <c r="E22" s="72"/>
      <c r="F22" s="72"/>
      <c r="G22" s="72"/>
      <c r="H22" s="72"/>
      <c r="I22" s="72"/>
      <c r="J22" s="73"/>
      <c r="K22" s="72"/>
      <c r="L22" s="72"/>
      <c r="M22" s="72"/>
      <c r="N22" s="72"/>
      <c r="O22" s="72"/>
      <c r="P22" s="72"/>
      <c r="Q22" s="72"/>
      <c r="R22" s="74"/>
      <c r="S22" s="75"/>
    </row>
    <row r="23" spans="1:19" ht="15.75">
      <c r="A23" s="5">
        <v>4</v>
      </c>
      <c r="C23" s="5">
        <v>2004</v>
      </c>
      <c r="E23" s="72">
        <f>G21</f>
        <v>958</v>
      </c>
      <c r="F23" s="72"/>
      <c r="G23" s="72">
        <v>995</v>
      </c>
      <c r="H23" s="72"/>
      <c r="I23" s="72">
        <f>+(E23+G23)/2</f>
        <v>976.5</v>
      </c>
      <c r="J23" s="73"/>
      <c r="K23" s="72">
        <v>26970945</v>
      </c>
      <c r="L23" s="72"/>
      <c r="M23" s="72">
        <f>+K23/I23</f>
        <v>27620.015360983103</v>
      </c>
      <c r="N23" s="72"/>
      <c r="O23" s="72">
        <v>53724763</v>
      </c>
      <c r="P23" s="72"/>
      <c r="Q23" s="72">
        <f>+O23/M23</f>
        <v>1945.1387806211462</v>
      </c>
      <c r="R23" s="74"/>
      <c r="S23" s="75">
        <f>+(Q23/Q21)-1</f>
        <v>0.14753414696658695</v>
      </c>
    </row>
    <row r="24" spans="1:19" ht="15.75">
      <c r="A24" s="5"/>
      <c r="C24" s="5"/>
      <c r="E24" s="72"/>
      <c r="F24" s="72"/>
      <c r="G24" s="72"/>
      <c r="H24" s="72"/>
      <c r="I24" s="72"/>
      <c r="J24" s="73"/>
      <c r="K24" s="72"/>
      <c r="L24" s="72"/>
      <c r="M24" s="72"/>
      <c r="N24" s="72"/>
      <c r="O24" s="72"/>
      <c r="P24" s="72"/>
      <c r="Q24" s="72"/>
      <c r="R24" s="74"/>
      <c r="S24" s="75"/>
    </row>
    <row r="25" spans="1:19" ht="15.75">
      <c r="A25" s="5">
        <v>5</v>
      </c>
      <c r="C25" s="5">
        <v>2005</v>
      </c>
      <c r="E25" s="72">
        <f>G23</f>
        <v>995</v>
      </c>
      <c r="F25" s="72"/>
      <c r="G25" s="72">
        <v>1077</v>
      </c>
      <c r="H25" s="72"/>
      <c r="I25" s="72">
        <f>+(E25+G25)/2</f>
        <v>1036</v>
      </c>
      <c r="J25" s="73"/>
      <c r="K25" s="72">
        <v>27761000</v>
      </c>
      <c r="L25" s="72"/>
      <c r="M25" s="72">
        <f>+K25/I25</f>
        <v>26796.332046332045</v>
      </c>
      <c r="N25" s="72"/>
      <c r="O25" s="72">
        <v>56458000</v>
      </c>
      <c r="P25" s="72"/>
      <c r="Q25" s="72">
        <f>+O25/M25</f>
        <v>2106.930153812903</v>
      </c>
      <c r="R25" s="74"/>
      <c r="S25" s="75">
        <f>+(Q25/Q23)-1</f>
        <v>0.08317729038340982</v>
      </c>
    </row>
    <row r="26" spans="1:19" ht="16.5" thickBot="1">
      <c r="A26" s="5"/>
      <c r="E26" s="77"/>
      <c r="F26" s="77"/>
      <c r="G26" s="77"/>
      <c r="H26" s="77"/>
      <c r="I26" s="77"/>
      <c r="J26" s="77"/>
      <c r="K26" s="74"/>
      <c r="L26" s="74"/>
      <c r="M26" s="74"/>
      <c r="N26" s="74"/>
      <c r="O26" s="78" t="s">
        <v>44</v>
      </c>
      <c r="P26" s="74"/>
      <c r="Q26" s="74"/>
      <c r="R26" s="74"/>
      <c r="S26" s="79">
        <f>AVERAGE(S19:S25)</f>
        <v>0.05018018775377717</v>
      </c>
    </row>
    <row r="27" spans="5:19" ht="16.5" thickTop="1"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3:19" ht="15.75">
      <c r="C28" s="5"/>
      <c r="E28" s="77"/>
      <c r="F28" s="77"/>
      <c r="G28" s="77"/>
      <c r="H28" s="77" t="s">
        <v>205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0"/>
    </row>
    <row r="29" spans="3:19" ht="15.75">
      <c r="C29" s="4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1" t="s">
        <v>203</v>
      </c>
      <c r="Q29" s="82" t="s">
        <v>204</v>
      </c>
      <c r="R29" s="77"/>
      <c r="S29" s="77"/>
    </row>
    <row r="30" spans="3:19" ht="15.75">
      <c r="C30" s="46"/>
      <c r="E30" s="77"/>
      <c r="F30" s="77"/>
      <c r="G30" s="77"/>
      <c r="H30" s="77"/>
      <c r="I30" s="77"/>
      <c r="J30" s="77" t="s">
        <v>206</v>
      </c>
      <c r="K30" s="77"/>
      <c r="L30" s="77"/>
      <c r="M30" s="77">
        <f>INTERCEPT(Q30:Q34,P30:P34)</f>
        <v>1480.172607570959</v>
      </c>
      <c r="N30" s="77"/>
      <c r="O30" s="74"/>
      <c r="P30" s="77">
        <v>1</v>
      </c>
      <c r="Q30" s="72">
        <f>+Q17</f>
        <v>1786.207725993476</v>
      </c>
      <c r="R30" s="77"/>
      <c r="S30" s="77"/>
    </row>
    <row r="31" spans="3:19" ht="15.75">
      <c r="C31" s="46"/>
      <c r="E31" s="77"/>
      <c r="F31" s="77"/>
      <c r="G31" s="77"/>
      <c r="H31" s="77"/>
      <c r="I31" s="77"/>
      <c r="J31" s="77" t="s">
        <v>208</v>
      </c>
      <c r="K31" s="77"/>
      <c r="L31" s="77"/>
      <c r="M31" s="77">
        <f>SLOPE(Q30:Q34,P30:P34)</f>
        <v>108.76227464881667</v>
      </c>
      <c r="N31" s="77"/>
      <c r="O31" s="77"/>
      <c r="P31" s="77">
        <v>2</v>
      </c>
      <c r="Q31" s="72">
        <f>+Q19</f>
        <v>1498.960889771834</v>
      </c>
      <c r="R31" s="77"/>
      <c r="S31" s="77"/>
    </row>
    <row r="32" spans="5:19" ht="15.75">
      <c r="E32" s="77"/>
      <c r="F32" s="77"/>
      <c r="G32" s="77"/>
      <c r="H32" s="77"/>
      <c r="I32" s="77"/>
      <c r="J32" s="77" t="s">
        <v>207</v>
      </c>
      <c r="K32" s="77"/>
      <c r="L32" s="77"/>
      <c r="M32" s="77">
        <f>RSQ(Q30:Q34,P30:P34)</f>
        <v>0.5454023313875033</v>
      </c>
      <c r="N32" s="77"/>
      <c r="O32" s="77"/>
      <c r="P32" s="77">
        <v>3</v>
      </c>
      <c r="Q32" s="72">
        <f>+Q21</f>
        <v>1695.0596073876861</v>
      </c>
      <c r="R32" s="77"/>
      <c r="S32" s="77"/>
    </row>
    <row r="33" spans="1:19" ht="15.75">
      <c r="A33" s="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>
        <v>4</v>
      </c>
      <c r="Q33" s="72">
        <f>+Q23</f>
        <v>1945.1387806211462</v>
      </c>
      <c r="R33" s="77"/>
      <c r="S33" s="77"/>
    </row>
    <row r="34" spans="1:19" ht="15.75">
      <c r="A34" s="1"/>
      <c r="E34" s="77"/>
      <c r="F34" s="77"/>
      <c r="G34" s="77"/>
      <c r="H34" s="77"/>
      <c r="I34" s="77"/>
      <c r="J34" s="77"/>
      <c r="K34" s="77"/>
      <c r="L34" s="77"/>
      <c r="M34" s="83"/>
      <c r="N34" s="77"/>
      <c r="O34" s="77"/>
      <c r="P34" s="77">
        <v>5</v>
      </c>
      <c r="Q34" s="72">
        <f>+Q25</f>
        <v>2106.930153812903</v>
      </c>
      <c r="R34" s="77"/>
      <c r="S34" s="77"/>
    </row>
    <row r="35" spans="1:19" ht="15.75">
      <c r="A35" s="1"/>
      <c r="E35" s="77"/>
      <c r="F35" s="77"/>
      <c r="G35" s="77"/>
      <c r="H35" s="77"/>
      <c r="I35" s="77"/>
      <c r="J35" s="77"/>
      <c r="K35" s="77"/>
      <c r="L35" s="77"/>
      <c r="M35" s="83"/>
      <c r="N35" s="77"/>
      <c r="O35" s="77"/>
      <c r="P35" s="77">
        <v>10</v>
      </c>
      <c r="Q35" s="72">
        <f>M30+M31*P35</f>
        <v>2567.7953540591257</v>
      </c>
      <c r="R35" s="77"/>
      <c r="S35" s="77"/>
    </row>
    <row r="36" spans="1:19" ht="15.75">
      <c r="A36" s="1"/>
      <c r="E36" s="77"/>
      <c r="F36" s="77"/>
      <c r="G36" s="77"/>
      <c r="H36" s="77"/>
      <c r="I36" s="77"/>
      <c r="J36" s="77"/>
      <c r="K36" s="77"/>
      <c r="L36" s="77"/>
      <c r="M36" s="83"/>
      <c r="N36" s="77"/>
      <c r="O36" s="77"/>
      <c r="P36" s="77"/>
      <c r="Q36" s="72"/>
      <c r="R36" s="77"/>
      <c r="S36" s="77"/>
    </row>
    <row r="37" spans="1:19" ht="15.75">
      <c r="A37" s="1"/>
      <c r="E37" s="77"/>
      <c r="F37" s="77"/>
      <c r="G37" s="77"/>
      <c r="H37" s="77"/>
      <c r="I37" s="77"/>
      <c r="J37" s="77" t="s">
        <v>211</v>
      </c>
      <c r="K37" s="77"/>
      <c r="L37" s="77"/>
      <c r="M37" s="83"/>
      <c r="N37" s="77"/>
      <c r="O37" s="77"/>
      <c r="P37" s="77"/>
      <c r="Q37" s="72">
        <f>Q35-Q34</f>
        <v>460.8652002462227</v>
      </c>
      <c r="R37" s="77"/>
      <c r="S37" s="77"/>
    </row>
    <row r="38" spans="1:19" ht="15.75">
      <c r="A38" s="1"/>
      <c r="E38" s="77"/>
      <c r="F38" s="77"/>
      <c r="G38" s="77"/>
      <c r="H38" s="77"/>
      <c r="I38" s="77"/>
      <c r="J38" s="77" t="s">
        <v>212</v>
      </c>
      <c r="K38" s="77"/>
      <c r="L38" s="77"/>
      <c r="M38" s="83"/>
      <c r="N38" s="77"/>
      <c r="O38" s="77"/>
      <c r="P38" s="77"/>
      <c r="Q38" s="72">
        <f>Q37/5</f>
        <v>92.17304004924453</v>
      </c>
      <c r="R38" s="77"/>
      <c r="S38" s="77"/>
    </row>
    <row r="39" spans="1:19" ht="15.75">
      <c r="A39" s="1"/>
      <c r="E39" s="77"/>
      <c r="F39" s="77"/>
      <c r="G39" s="77"/>
      <c r="H39" s="77"/>
      <c r="I39" s="77"/>
      <c r="J39" s="77"/>
      <c r="K39" s="77"/>
      <c r="L39" s="77"/>
      <c r="M39" s="83"/>
      <c r="N39" s="77"/>
      <c r="O39" s="77"/>
      <c r="P39" s="77"/>
      <c r="Q39" s="72"/>
      <c r="R39" s="77"/>
      <c r="S39" s="77"/>
    </row>
    <row r="40" spans="1:19" ht="15.75">
      <c r="A40" s="1"/>
      <c r="C40" s="77"/>
      <c r="E40" s="77"/>
      <c r="F40" s="77"/>
      <c r="G40" s="77"/>
      <c r="H40" s="77"/>
      <c r="I40" s="77"/>
      <c r="J40" s="77"/>
      <c r="K40" s="77"/>
      <c r="L40" s="77"/>
      <c r="M40" s="83"/>
      <c r="N40" s="77"/>
      <c r="O40" s="77"/>
      <c r="P40" s="77"/>
      <c r="Q40" s="77"/>
      <c r="R40" s="77"/>
      <c r="S40" s="77"/>
    </row>
    <row r="41" spans="1:19" ht="15.75">
      <c r="A41" s="1"/>
      <c r="C41" s="77"/>
      <c r="E41" s="77"/>
      <c r="F41" s="77"/>
      <c r="G41" s="77"/>
      <c r="H41" s="77"/>
      <c r="I41" s="77"/>
      <c r="J41" s="77"/>
      <c r="K41" s="77"/>
      <c r="L41" s="77"/>
      <c r="M41" s="83"/>
      <c r="N41" s="77"/>
      <c r="O41" s="77"/>
      <c r="P41" s="77"/>
      <c r="Q41" s="77"/>
      <c r="R41" s="77"/>
      <c r="S41" s="77"/>
    </row>
    <row r="42" spans="1:19" ht="15.75">
      <c r="A42" s="1"/>
      <c r="C42" s="77"/>
      <c r="E42" s="77"/>
      <c r="F42" s="77"/>
      <c r="G42" s="77"/>
      <c r="H42" s="77"/>
      <c r="I42" s="77"/>
      <c r="J42" s="77"/>
      <c r="K42" s="77"/>
      <c r="L42" s="77"/>
      <c r="M42" s="83"/>
      <c r="N42" s="77"/>
      <c r="O42" s="77"/>
      <c r="P42" s="77"/>
      <c r="Q42" s="77"/>
      <c r="R42" s="77"/>
      <c r="S42" s="77"/>
    </row>
    <row r="43" spans="1:19" ht="15.75">
      <c r="A43" s="1"/>
      <c r="E43" s="77"/>
      <c r="F43" s="77"/>
      <c r="G43" s="77"/>
      <c r="H43" s="77"/>
      <c r="I43" s="77"/>
      <c r="J43" s="77"/>
      <c r="K43" s="77"/>
      <c r="L43" s="77"/>
      <c r="M43" s="83"/>
      <c r="N43" s="77"/>
      <c r="O43" s="77"/>
      <c r="P43" s="77"/>
      <c r="Q43" s="77"/>
      <c r="R43" s="77"/>
      <c r="S43" s="77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12">
      <c r="A49" s="1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24">
      <c r="A53" s="1"/>
      <c r="K53" s="86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3" ht="12">
      <c r="A58" s="1"/>
      <c r="M58" s="1"/>
    </row>
    <row r="59" spans="1:13" ht="12">
      <c r="A59" s="1"/>
      <c r="M59" s="1"/>
    </row>
    <row r="60" spans="1:13" ht="12">
      <c r="A60" s="1"/>
      <c r="M60" s="1"/>
    </row>
    <row r="61" spans="1:13" ht="12">
      <c r="A61" s="1"/>
      <c r="M61" s="1"/>
    </row>
    <row r="62" spans="1:13" ht="12">
      <c r="A62" s="1"/>
      <c r="M62" s="1"/>
    </row>
    <row r="63" spans="1:13" ht="12">
      <c r="A63" s="1"/>
      <c r="M63" s="1"/>
    </row>
    <row r="64" spans="1:12" ht="18.75">
      <c r="A64" s="1"/>
      <c r="K64" s="11"/>
      <c r="L64" s="51"/>
    </row>
    <row r="65" spans="1:13" ht="12">
      <c r="A65" s="1"/>
      <c r="M65" s="1"/>
    </row>
    <row r="66" spans="1:13" ht="12">
      <c r="A66" s="1"/>
      <c r="M66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2006-09-11T03:12:52Z</cp:lastPrinted>
  <dcterms:created xsi:type="dcterms:W3CDTF">2002-03-03T13:33:42Z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