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4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'F-10'!$A$1:$O$35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'F-1'!$A$1:$N$49</definedName>
    <definedName name="F_10">'F-10'!$A$1:$S$49</definedName>
    <definedName name="F_2">'F-2'!$A$1:$N$49</definedName>
    <definedName name="F_3">'F-3'!$A$1:$K$49</definedName>
    <definedName name="F_4">'F-4'!$A$1:$M$49</definedName>
    <definedName name="F_5">'F-5'!$A$1:$L$71</definedName>
    <definedName name="F_6">'F-6'!$A$1:$I$49</definedName>
    <definedName name="F_7">'F-7'!$A$1:$J$49</definedName>
    <definedName name="F_8">'F-8'!$A$1:$L$49</definedName>
    <definedName name="F_9">'F-9'!$A$1:$S$49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'F-5'!$A$65:$L$75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'F-5'!$A$1:$K$75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'F-5'!$A$76:$K$117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'F-5'!$A$76:$K$117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'F-1'!$A$1:$M$38</definedName>
    <definedName name="_xlnm.Print_Area" localSheetId="9">'F-10'!$A$1:$S$49</definedName>
    <definedName name="_xlnm.Print_Area" localSheetId="1">'F-2'!$A$1:$N$49</definedName>
    <definedName name="_xlnm.Print_Area" localSheetId="2">'F-3'!$A$1:$K$49</definedName>
    <definedName name="_xlnm.Print_Area" localSheetId="3">'F-4'!$A$1:$M$49</definedName>
    <definedName name="_xlnm.Print_Area" localSheetId="4">'F-5'!$A$1:$L$71</definedName>
    <definedName name="_xlnm.Print_Area" localSheetId="5">'F-6'!$A$1:$I$49</definedName>
    <definedName name="_xlnm.Print_Area" localSheetId="6">'F-7'!$A$1:$J$49</definedName>
    <definedName name="_xlnm.Print_Area" localSheetId="7">'F-8'!$A$1:$L$49</definedName>
    <definedName name="_xlnm.Print_Area" localSheetId="8">'F-9'!$A$1:$S$49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'F-5'!$A$31:$L$63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'F-5'!$A$15:$L$29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'F-5'!$A$1:$L$13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'F-3'!$A$1:$M$53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sharedStrings.xml><?xml version="1.0" encoding="utf-8"?>
<sst xmlns="http://schemas.openxmlformats.org/spreadsheetml/2006/main" count="437" uniqueCount="220">
  <si>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</si>
  <si>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</si>
  <si>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</si>
  <si>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</si>
  <si>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</si>
  <si>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</si>
  <si>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Gallons of Water Pumped, Sold and Unaccounted For</t>
  </si>
  <si>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</si>
  <si>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</si>
  <si>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</si>
  <si>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</si>
  <si>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</si>
  <si>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</si>
  <si>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</si>
  <si>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</si>
  <si>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</si>
  <si>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</si>
  <si>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</si>
  <si>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</si>
  <si>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</si>
  <si>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</si>
  <si>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</si>
  <si>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</si>
  <si>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</si>
  <si>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</si>
  <si>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</si>
  <si>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</si>
  <si>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</si>
  <si>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</si>
  <si>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</si>
  <si>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</si>
  <si>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</si>
  <si>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</si>
  <si>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</si>
  <si>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</si>
  <si>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</si>
  <si>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</si>
  <si>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</si>
  <si>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</si>
  <si>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</si>
  <si>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>*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</si>
  <si>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</si>
  <si>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</si>
  <si>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</si>
  <si>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</si>
  <si>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</si>
  <si>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</si>
  <si>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</si>
  <si>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</si>
  <si>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</si>
  <si>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</si>
  <si>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</si>
  <si>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</si>
  <si>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>Date</t>
  </si>
  <si>
    <t>GPD</t>
  </si>
  <si>
    <t>Plant Capacity</t>
  </si>
  <si>
    <t xml:space="preserve">The hydraulic rated capacity.  If different from that shown </t>
  </si>
  <si>
    <t>Maximum Day</t>
  </si>
  <si>
    <t xml:space="preserve">The single day with the highest pumpage rate for the test year.  </t>
  </si>
  <si>
    <t>Five Day Max. Year</t>
  </si>
  <si>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</si>
  <si>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</si>
  <si>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</si>
  <si>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</si>
  <si>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</si>
  <si>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</si>
  <si>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</si>
  <si>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</si>
  <si>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</si>
  <si>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</si>
  <si>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</si>
  <si>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</si>
  <si>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</si>
  <si>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</si>
  <si>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</si>
  <si>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</si>
  <si>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</si>
  <si>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</si>
  <si>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</si>
  <si>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</si>
  <si>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Company:  Utilities, Inc. of Florida (602-Weathersfield)</t>
  </si>
  <si>
    <t>Equivalent Residential Connections - Water</t>
  </si>
  <si>
    <t>Schedule F-9</t>
  </si>
  <si>
    <t>Explanation:  Provide the following information in order to calculate the average growth in ERCs for the last</t>
  </si>
  <si>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</si>
  <si>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</si>
  <si>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</si>
  <si>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</si>
  <si>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</si>
  <si>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</si>
  <si>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</si>
  <si>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</si>
  <si>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</si>
  <si>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</si>
  <si>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</si>
  <si>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</si>
  <si>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</si>
  <si>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</si>
  <si>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</si>
  <si>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</si>
  <si>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</si>
  <si>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</si>
  <si>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</si>
  <si>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</si>
  <si>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</si>
  <si>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</si>
  <si>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</si>
  <si>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</si>
  <si>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</si>
  <si>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</si>
  <si>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</si>
  <si>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</si>
  <si>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</si>
  <si>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</si>
  <si>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</si>
  <si>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</si>
  <si>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</si>
  <si>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</si>
  <si>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</si>
  <si>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</si>
  <si>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</si>
  <si>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</si>
  <si>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</si>
  <si>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</si>
  <si>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</si>
  <si>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</si>
  <si>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</si>
  <si>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</si>
  <si>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Preparer:  Seidman, F.</t>
  </si>
  <si>
    <t>INPUT INFORMATION:</t>
  </si>
  <si>
    <t>Total well pumping capacity, gpm</t>
  </si>
  <si>
    <t>Firm Reliable well pumping capacity (largest well out), gpm</t>
  </si>
  <si>
    <t>Ground storage capacity, gal.</t>
  </si>
  <si>
    <t>Usable ground storage (90%), gal.</t>
  </si>
  <si>
    <t>Hydropneumatic storage capacity, gal.</t>
  </si>
  <si>
    <t>Usable hydropneumatic storage capacity (33.33%), gal.</t>
  </si>
  <si>
    <t>Total usable storage, gal.</t>
  </si>
  <si>
    <t>High service pumping capacity, gpm</t>
  </si>
  <si>
    <t xml:space="preserve">Maximum day, maximum month demand, </t>
  </si>
  <si>
    <t>Peak hour demand = 2 x max day</t>
  </si>
  <si>
    <t>Fire flow requirement</t>
  </si>
  <si>
    <t>Percent Used &amp; Useful = (A + B + C - D)/E x 100%, where:</t>
  </si>
  <si>
    <t xml:space="preserve">A = </t>
  </si>
  <si>
    <t>B =</t>
  </si>
  <si>
    <t>C =</t>
  </si>
  <si>
    <t>D =</t>
  </si>
  <si>
    <t>E =</t>
  </si>
  <si>
    <t>Peak demand</t>
  </si>
  <si>
    <t>Firm Reliable Capacity</t>
  </si>
  <si>
    <t>Excess Unaccounted for water</t>
  </si>
  <si>
    <t>Fire flow demand</t>
  </si>
  <si>
    <t>Property needed to serve five years after TY</t>
  </si>
  <si>
    <t>gpm</t>
  </si>
  <si>
    <t>gallons</t>
  </si>
  <si>
    <t>gpd</t>
  </si>
  <si>
    <t>Unaccounted for water</t>
  </si>
  <si>
    <t>of water pumped</t>
  </si>
  <si>
    <t>gpd, avg</t>
  </si>
  <si>
    <t>Acceptable unaccounted for</t>
  </si>
  <si>
    <t>Excess unaccounted for</t>
  </si>
  <si>
    <t>(Above data in millions of gallons)</t>
  </si>
  <si>
    <t>(mixed residential/comm'l)</t>
  </si>
  <si>
    <t>Not Applicable -</t>
  </si>
  <si>
    <t>Wastewater pumped to City of Altamonte Springs</t>
  </si>
  <si>
    <t>Average day demand, maximum month</t>
  </si>
  <si>
    <t>Max Month</t>
  </si>
  <si>
    <t xml:space="preserve">The above used and useful factor is applicable to all source of supply, pumping and treatment accounts, </t>
  </si>
  <si>
    <t>year.  The gallons pumped should match the flows shown on the monthly operating reports sent to DEP. The other</t>
  </si>
  <si>
    <t xml:space="preserve">historical test year.  Flow data should match the  monthly operating reports sent to DEP. </t>
  </si>
  <si>
    <t xml:space="preserve">ating reports (MORs) sent to the Department of Environmental Protection.  </t>
  </si>
  <si>
    <t>on the DEP operating or construction permit, provide an explanation.</t>
  </si>
  <si>
    <t xml:space="preserve">Explain, on a separate sheet of paper if fire flow, line breaks, </t>
  </si>
  <si>
    <t>or other unusual occurrences affected the flow this day.</t>
  </si>
  <si>
    <t>breaks or other unusual occurrences affected the flows on</t>
  </si>
  <si>
    <t>from the monthly operating reports (MORs) sent to the Department of Environmental Protection.</t>
  </si>
  <si>
    <t>Used &amp; Useful Analysis:</t>
  </si>
  <si>
    <t xml:space="preserve">to be 100% used &amp; useful, as it had in past cases. In November, 2000,  the City of Altamonte Springs </t>
  </si>
  <si>
    <t>purchased that portion of the Weathersfield service area serving the Green Acres Campground because</t>
  </si>
  <si>
    <t>as well as the land, structures and distribution reservoir accounts.</t>
  </si>
  <si>
    <t>Use 100%</t>
  </si>
  <si>
    <t>Support plant is considered 100% used and useful.</t>
  </si>
  <si>
    <t>Water Distribution &amp; Wastewater Collection Systems</t>
  </si>
  <si>
    <t xml:space="preserve">and collection systems to be 100% used &amp; useful, as it had in past cases. In November, 2000,  the City of </t>
  </si>
  <si>
    <t xml:space="preserve">Altamonte Springs purchased that portion of the Weathersfield service area serving the Green Acres Campground </t>
  </si>
  <si>
    <t>because it was being converted to commercial development. No lines have been added.  The service area is built</t>
  </si>
  <si>
    <t>out and the distribution and collection systems remain 100% used &amp; useful.</t>
  </si>
  <si>
    <t xml:space="preserve">documents to support this calculation.   </t>
  </si>
  <si>
    <t xml:space="preserve">[*  Per DEP, limited by High Service Pumping]  </t>
  </si>
  <si>
    <t>Regression Analysis per Rule 25-30.431(2)(C)</t>
  </si>
  <si>
    <t>X</t>
  </si>
  <si>
    <t>Y</t>
  </si>
  <si>
    <t>Constant:</t>
  </si>
  <si>
    <t>X Coefficient:</t>
  </si>
  <si>
    <t>R^2:</t>
  </si>
  <si>
    <t xml:space="preserve"> </t>
  </si>
  <si>
    <t>1250 gpm for 2 hours</t>
  </si>
  <si>
    <t>* 1250 gpm for 2 hours</t>
  </si>
  <si>
    <t>* Land Development Code of Seminole County</t>
  </si>
  <si>
    <t xml:space="preserve">  Single family &amp; duplexes - 600 gpm minimum</t>
  </si>
  <si>
    <t xml:space="preserve">  All others - 1,250 gpm minimum</t>
  </si>
  <si>
    <t>Page 1 of 2</t>
  </si>
  <si>
    <t>Used &amp; useful was last set for this system in Docket No. 020071-WS. The Commission found the system</t>
  </si>
  <si>
    <t>but it also has allowed UIF to continue to serve the existing area without any expansion of the system.</t>
  </si>
  <si>
    <t>it was being converted to commercial development. The effect has been to reduce Weathersfield annual sales,</t>
  </si>
  <si>
    <t>This system treats water by cascade aeration and chlorination. The aerator capacity is sized to match that</t>
  </si>
  <si>
    <t xml:space="preserve">of the wells. The ground storage, hydropneumatic storage and high service pumping are all an integral part of </t>
  </si>
  <si>
    <t xml:space="preserve">this system. The available storage capacity and high service pumping is not sufficient, on its own, to meet fire flow </t>
  </si>
  <si>
    <t xml:space="preserve">requirements, emergencies or changes in hourly demand over daily peak demand.  Therefore, for this system, </t>
  </si>
  <si>
    <t>all components are considered together for purposes of determining used &amp; useful.  This is consistent with the</t>
  </si>
  <si>
    <t>finding in Docket No. 020071-WS. Based on the max day demand plus fireflow compared to Firm Reliable Capacity,</t>
  </si>
  <si>
    <t>used &amp; useful is 92.42% without any consideration for growth or changes in usage patterns.  However, used &amp; useful</t>
  </si>
  <si>
    <t>should continue to be set at 100%, as it has in the past. The system has only two wells, as required by DEP,</t>
  </si>
  <si>
    <t>Used &amp; useful was last set for this system in Docket No. 020071-WS. The Commission found the Distribution</t>
  </si>
  <si>
    <t>Not applicable - system is built out. See Docket No. 020071-WS</t>
  </si>
  <si>
    <t>Docket No.:  060253-WS</t>
  </si>
  <si>
    <t>Test Year Ended:  December 31, 2005</t>
  </si>
  <si>
    <t xml:space="preserve">*Total Gallons Sold includes sold figures for Weathersfield, Trailwoods and </t>
  </si>
  <si>
    <t xml:space="preserve"> Oakland Hills subdivisions.</t>
  </si>
  <si>
    <t xml:space="preserve">   Wastewater treatment &amp; disposal services purchased from City of Altamonte Springs.</t>
  </si>
  <si>
    <t>and the demand cannot be served safely with any less investment. The system is built out and is 100% used &amp; useful.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</si>
</sst>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u val="single"/>
      <sz val="10"/>
      <name val="Geneva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b/>
      <sz val="1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14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4" fillId="0" borderId="0" xfId="0" applyNumberFormat="1" applyFont="1" applyFill="1" applyAlignment="1">
      <alignment horizontal="right"/>
    </xf>
    <xf numFmtId="171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0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fill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2" fillId="0" borderId="0" xfId="0" applyNumberFormat="1" applyFont="1" applyFill="1" applyAlignment="1">
      <alignment horizontal="right"/>
    </xf>
    <xf numFmtId="164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14" fontId="4" fillId="0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4" fontId="14" fillId="0" borderId="0" xfId="0" applyNumberFormat="1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4" fontId="13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 quotePrefix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1" sqref="A1:M38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86" t="s">
        <v>6</v>
      </c>
      <c r="B1" s="87"/>
      <c r="C1" s="87"/>
      <c r="D1" s="87"/>
      <c r="E1" s="87"/>
      <c r="F1" s="87"/>
      <c r="G1" s="87"/>
      <c r="H1" s="87"/>
      <c r="I1" s="87"/>
      <c r="J1" s="86" t="s">
        <v>7</v>
      </c>
      <c r="K1" s="87"/>
    </row>
    <row r="2" spans="1:11" ht="12.75">
      <c r="A2" s="86" t="s">
        <v>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>
      <c r="A3" s="87"/>
      <c r="B3" s="87"/>
      <c r="C3" s="87"/>
      <c r="D3" s="87"/>
      <c r="E3" s="87"/>
      <c r="F3" s="87"/>
      <c r="G3" s="87"/>
      <c r="H3" s="87"/>
      <c r="I3" s="87"/>
      <c r="J3" s="86" t="s">
        <v>9</v>
      </c>
      <c r="K3" s="87"/>
    </row>
    <row r="4" spans="1:11" ht="12.75">
      <c r="A4" s="86" t="s">
        <v>80</v>
      </c>
      <c r="B4" s="87"/>
      <c r="C4" s="87"/>
      <c r="D4" s="87"/>
      <c r="E4" s="87"/>
      <c r="F4" s="87"/>
      <c r="G4" s="87"/>
      <c r="H4" s="87"/>
      <c r="I4" s="87"/>
      <c r="J4" s="86" t="s">
        <v>10</v>
      </c>
      <c r="K4" s="87"/>
    </row>
    <row r="5" spans="1:11" ht="12.75">
      <c r="A5" s="86" t="s">
        <v>214</v>
      </c>
      <c r="B5" s="87"/>
      <c r="C5" s="87"/>
      <c r="D5" s="87"/>
      <c r="E5" s="87"/>
      <c r="F5" s="87"/>
      <c r="G5" s="87"/>
      <c r="H5" s="87"/>
      <c r="I5" s="87"/>
      <c r="J5" s="86" t="s">
        <v>128</v>
      </c>
      <c r="K5" s="87"/>
    </row>
    <row r="6" spans="1:11" ht="12.75">
      <c r="A6" s="86" t="s">
        <v>215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2.75">
      <c r="A8" s="86" t="s">
        <v>11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2.75">
      <c r="A9" s="86" t="s">
        <v>167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2.75">
      <c r="A10" s="86" t="s">
        <v>12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86" t="s">
        <v>13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2" ht="12.75">
      <c r="A12" s="86" t="s">
        <v>14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3"/>
    </row>
    <row r="13" spans="1:13" ht="12">
      <c r="A13" s="4" t="s">
        <v>15</v>
      </c>
      <c r="B13" s="4" t="s">
        <v>15</v>
      </c>
      <c r="C13" s="4" t="s">
        <v>15</v>
      </c>
      <c r="D13" s="4" t="s">
        <v>15</v>
      </c>
      <c r="E13" s="4" t="s">
        <v>15</v>
      </c>
      <c r="F13" s="4" t="s">
        <v>15</v>
      </c>
      <c r="G13" s="4" t="s">
        <v>15</v>
      </c>
      <c r="H13" s="4" t="s">
        <v>15</v>
      </c>
      <c r="I13" s="4" t="s">
        <v>15</v>
      </c>
      <c r="J13" s="4" t="s">
        <v>15</v>
      </c>
      <c r="K13" s="4" t="s">
        <v>15</v>
      </c>
      <c r="L13" s="4" t="s">
        <v>15</v>
      </c>
      <c r="M13" s="4" t="s">
        <v>15</v>
      </c>
    </row>
    <row r="14" spans="3:13" ht="12">
      <c r="C14" s="5" t="s">
        <v>16</v>
      </c>
      <c r="E14" s="5" t="s">
        <v>17</v>
      </c>
      <c r="G14" s="5" t="s">
        <v>18</v>
      </c>
      <c r="I14" s="5" t="s">
        <v>19</v>
      </c>
      <c r="K14" s="5" t="s">
        <v>20</v>
      </c>
      <c r="M14" s="5" t="s">
        <v>21</v>
      </c>
    </row>
    <row r="15" spans="7:13" ht="12">
      <c r="G15" s="5" t="s">
        <v>40</v>
      </c>
      <c r="K15" s="5" t="s">
        <v>22</v>
      </c>
      <c r="M15" s="5" t="s">
        <v>23</v>
      </c>
    </row>
    <row r="16" spans="1:13" ht="12">
      <c r="A16" s="5" t="s">
        <v>24</v>
      </c>
      <c r="C16" s="5" t="s">
        <v>25</v>
      </c>
      <c r="E16" s="5" t="s">
        <v>26</v>
      </c>
      <c r="G16" s="5" t="s">
        <v>26</v>
      </c>
      <c r="I16" s="5" t="s">
        <v>27</v>
      </c>
      <c r="K16" s="5" t="s">
        <v>28</v>
      </c>
      <c r="M16" s="5" t="s">
        <v>22</v>
      </c>
    </row>
    <row r="17" spans="1:13" ht="12">
      <c r="A17" s="5" t="s">
        <v>29</v>
      </c>
      <c r="C17" s="5" t="s">
        <v>30</v>
      </c>
      <c r="E17" s="5" t="s">
        <v>31</v>
      </c>
      <c r="G17" s="5" t="s">
        <v>32</v>
      </c>
      <c r="I17" s="5" t="s">
        <v>33</v>
      </c>
      <c r="K17" s="5" t="s">
        <v>34</v>
      </c>
      <c r="M17" s="5" t="s">
        <v>28</v>
      </c>
    </row>
    <row r="18" spans="1:13" ht="12">
      <c r="A18" s="4" t="s">
        <v>15</v>
      </c>
      <c r="C18" s="4" t="s">
        <v>15</v>
      </c>
      <c r="E18" s="4" t="s">
        <v>15</v>
      </c>
      <c r="G18" s="4" t="s">
        <v>15</v>
      </c>
      <c r="I18" s="4" t="s">
        <v>15</v>
      </c>
      <c r="K18" s="4" t="s">
        <v>15</v>
      </c>
      <c r="M18" s="4" t="s">
        <v>15</v>
      </c>
    </row>
    <row r="19" spans="1:13" ht="12">
      <c r="A19" s="12">
        <v>38353</v>
      </c>
      <c r="C19" s="13">
        <v>8.581</v>
      </c>
      <c r="E19" s="2">
        <v>0</v>
      </c>
      <c r="G19" s="13">
        <v>6.773</v>
      </c>
      <c r="I19" s="13">
        <v>0</v>
      </c>
      <c r="K19" s="13">
        <f aca="true" t="shared" si="0" ref="K19:K30">C19-G19-I19</f>
        <v>1.8079999999999998</v>
      </c>
      <c r="L19" s="6"/>
      <c r="M19" s="14">
        <f aca="true" t="shared" si="1" ref="M19:M30">K19/C19</f>
        <v>0.2106980538398788</v>
      </c>
    </row>
    <row r="20" spans="1:13" ht="12">
      <c r="A20" s="12">
        <v>38384</v>
      </c>
      <c r="C20" s="13">
        <v>8.026</v>
      </c>
      <c r="E20" s="2">
        <v>0</v>
      </c>
      <c r="G20" s="13">
        <v>6.66</v>
      </c>
      <c r="I20" s="13">
        <v>0.003</v>
      </c>
      <c r="K20" s="13">
        <f t="shared" si="0"/>
        <v>1.3629999999999998</v>
      </c>
      <c r="L20" s="6"/>
      <c r="M20" s="14">
        <f t="shared" si="1"/>
        <v>0.16982307500622973</v>
      </c>
    </row>
    <row r="21" spans="1:13" ht="12">
      <c r="A21" s="12">
        <v>38412</v>
      </c>
      <c r="C21" s="13">
        <v>8.143</v>
      </c>
      <c r="E21" s="2">
        <v>0</v>
      </c>
      <c r="G21" s="13">
        <v>7.061</v>
      </c>
      <c r="I21" s="13">
        <v>0.003</v>
      </c>
      <c r="K21" s="13">
        <f t="shared" si="0"/>
        <v>1.0790000000000008</v>
      </c>
      <c r="L21" s="6"/>
      <c r="M21" s="14">
        <f t="shared" si="1"/>
        <v>0.1325064472553114</v>
      </c>
    </row>
    <row r="22" spans="1:13" ht="12">
      <c r="A22" s="12">
        <v>38443</v>
      </c>
      <c r="C22" s="13">
        <v>8.25</v>
      </c>
      <c r="E22" s="2">
        <v>0</v>
      </c>
      <c r="G22" s="13">
        <v>8.911</v>
      </c>
      <c r="I22" s="13">
        <v>0.003</v>
      </c>
      <c r="K22" s="13">
        <f t="shared" si="0"/>
        <v>-0.6639999999999996</v>
      </c>
      <c r="L22" s="6"/>
      <c r="M22" s="14">
        <f t="shared" si="1"/>
        <v>-0.08048484848484844</v>
      </c>
    </row>
    <row r="23" spans="1:13" ht="12">
      <c r="A23" s="12">
        <v>38473</v>
      </c>
      <c r="C23" s="13">
        <v>8.52</v>
      </c>
      <c r="E23" s="2">
        <v>0</v>
      </c>
      <c r="G23" s="13">
        <v>8.278</v>
      </c>
      <c r="I23" s="13">
        <v>0</v>
      </c>
      <c r="K23" s="13">
        <f t="shared" si="0"/>
        <v>0.2419999999999991</v>
      </c>
      <c r="L23" s="6"/>
      <c r="M23" s="14">
        <f t="shared" si="1"/>
        <v>0.028403755868544496</v>
      </c>
    </row>
    <row r="24" spans="1:13" ht="12">
      <c r="A24" s="12">
        <v>38504</v>
      </c>
      <c r="C24" s="13">
        <v>8.214</v>
      </c>
      <c r="E24" s="2">
        <v>0</v>
      </c>
      <c r="G24" s="13">
        <v>6.817</v>
      </c>
      <c r="I24" s="13">
        <v>0.003</v>
      </c>
      <c r="K24" s="13">
        <f t="shared" si="0"/>
        <v>1.3940000000000003</v>
      </c>
      <c r="L24" s="6"/>
      <c r="M24" s="14">
        <f t="shared" si="1"/>
        <v>0.1697102507913319</v>
      </c>
    </row>
    <row r="25" spans="1:13" ht="12">
      <c r="A25" s="12">
        <v>38534</v>
      </c>
      <c r="C25" s="13">
        <v>8.684</v>
      </c>
      <c r="E25" s="2">
        <v>0</v>
      </c>
      <c r="G25" s="13">
        <v>8.399</v>
      </c>
      <c r="I25" s="13">
        <v>0.083</v>
      </c>
      <c r="K25" s="13">
        <f t="shared" si="0"/>
        <v>0.20200000000000012</v>
      </c>
      <c r="L25" s="6"/>
      <c r="M25" s="14">
        <f t="shared" si="1"/>
        <v>0.02326116996775681</v>
      </c>
    </row>
    <row r="26" spans="1:13" ht="12">
      <c r="A26" s="12">
        <v>38565</v>
      </c>
      <c r="C26" s="13">
        <v>9.489</v>
      </c>
      <c r="E26" s="2">
        <v>0</v>
      </c>
      <c r="G26" s="13">
        <v>8.058</v>
      </c>
      <c r="I26" s="13">
        <v>0.003</v>
      </c>
      <c r="K26" s="13">
        <f t="shared" si="0"/>
        <v>1.428000000000001</v>
      </c>
      <c r="L26" s="6"/>
      <c r="M26" s="14">
        <f t="shared" si="1"/>
        <v>0.1504900411002214</v>
      </c>
    </row>
    <row r="27" spans="1:13" ht="12">
      <c r="A27" s="12">
        <v>38596</v>
      </c>
      <c r="C27" s="13">
        <v>8.851</v>
      </c>
      <c r="E27" s="2">
        <v>0</v>
      </c>
      <c r="G27" s="13">
        <v>9.285</v>
      </c>
      <c r="I27" s="13">
        <v>0.003</v>
      </c>
      <c r="K27" s="13">
        <f t="shared" si="0"/>
        <v>-0.4369999999999993</v>
      </c>
      <c r="L27" s="6"/>
      <c r="M27" s="14">
        <f t="shared" si="1"/>
        <v>-0.04937295220878988</v>
      </c>
    </row>
    <row r="28" spans="1:13" ht="12">
      <c r="A28" s="12">
        <v>38626</v>
      </c>
      <c r="C28" s="13">
        <v>8.632</v>
      </c>
      <c r="E28" s="2">
        <v>0</v>
      </c>
      <c r="G28" s="13">
        <v>7.252</v>
      </c>
      <c r="I28" s="13">
        <v>0.003</v>
      </c>
      <c r="K28" s="13">
        <f t="shared" si="0"/>
        <v>1.377</v>
      </c>
      <c r="L28" s="6"/>
      <c r="M28" s="14">
        <f t="shared" si="1"/>
        <v>0.1595227062094532</v>
      </c>
    </row>
    <row r="29" spans="1:13" ht="12">
      <c r="A29" s="12">
        <v>38657</v>
      </c>
      <c r="C29" s="13">
        <v>8.02</v>
      </c>
      <c r="E29" s="2">
        <v>0</v>
      </c>
      <c r="G29" s="13">
        <v>7.774</v>
      </c>
      <c r="I29" s="13">
        <v>0.203</v>
      </c>
      <c r="K29" s="13">
        <f t="shared" si="0"/>
        <v>0.04299999999999954</v>
      </c>
      <c r="L29" s="6"/>
      <c r="M29" s="14">
        <f t="shared" si="1"/>
        <v>0.005361596009975005</v>
      </c>
    </row>
    <row r="30" spans="1:13" ht="12">
      <c r="A30" s="12">
        <v>38687</v>
      </c>
      <c r="C30" s="13">
        <v>7.392</v>
      </c>
      <c r="E30" s="2">
        <v>0</v>
      </c>
      <c r="G30" s="13">
        <v>6.62</v>
      </c>
      <c r="I30" s="13">
        <v>0.003</v>
      </c>
      <c r="K30" s="13">
        <f t="shared" si="0"/>
        <v>0.7690000000000002</v>
      </c>
      <c r="L30" s="6"/>
      <c r="M30" s="14">
        <f t="shared" si="1"/>
        <v>0.10403138528138531</v>
      </c>
    </row>
    <row r="31" spans="1:13" ht="12">
      <c r="A31" s="12"/>
      <c r="G31" s="13"/>
      <c r="I31" s="13"/>
      <c r="K31" s="13"/>
      <c r="L31" s="6"/>
      <c r="M31" s="7"/>
    </row>
    <row r="32" spans="3:13" ht="12">
      <c r="C32" s="8" t="s">
        <v>35</v>
      </c>
      <c r="E32" s="4" t="s">
        <v>35</v>
      </c>
      <c r="G32" s="4" t="s">
        <v>35</v>
      </c>
      <c r="I32" s="4" t="s">
        <v>35</v>
      </c>
      <c r="K32" s="4" t="s">
        <v>35</v>
      </c>
      <c r="L32" s="6"/>
      <c r="M32" s="8" t="s">
        <v>35</v>
      </c>
    </row>
    <row r="33" spans="1:13" ht="12">
      <c r="A33" s="5" t="s">
        <v>36</v>
      </c>
      <c r="C33" s="2">
        <f>SUM(C19:C31)</f>
        <v>100.80199999999999</v>
      </c>
      <c r="E33" s="2">
        <v>0</v>
      </c>
      <c r="G33" s="13">
        <f>SUM(G19:G31)</f>
        <v>91.888</v>
      </c>
      <c r="I33" s="13">
        <f>SUM(I19:I32)</f>
        <v>0.31000000000000005</v>
      </c>
      <c r="K33" s="13">
        <f>SUM(K19:K31)</f>
        <v>8.604000000000001</v>
      </c>
      <c r="L33" s="6"/>
      <c r="M33" s="14">
        <f>(C33-G33-I33)/C33</f>
        <v>0.08535544929664081</v>
      </c>
    </row>
    <row r="34" spans="3:13" ht="12">
      <c r="C34" s="4" t="s">
        <v>37</v>
      </c>
      <c r="E34" s="4" t="s">
        <v>37</v>
      </c>
      <c r="G34" s="4" t="s">
        <v>37</v>
      </c>
      <c r="I34" s="4" t="s">
        <v>37</v>
      </c>
      <c r="K34" s="4" t="s">
        <v>37</v>
      </c>
      <c r="M34" s="4" t="s">
        <v>37</v>
      </c>
    </row>
    <row r="35" ht="12">
      <c r="C35" s="2" t="s">
        <v>160</v>
      </c>
    </row>
    <row r="36" spans="1:13" ht="36" customHeight="1">
      <c r="A36" s="93"/>
      <c r="C36" s="1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2">
      <c r="A37" s="93" t="s">
        <v>216</v>
      </c>
      <c r="C37" s="1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ht="12">
      <c r="A38" s="93" t="s">
        <v>217</v>
      </c>
    </row>
    <row r="49" ht="24">
      <c r="G49" s="83"/>
    </row>
    <row r="60" spans="1:7" ht="18" customHeight="1">
      <c r="A60" s="10"/>
      <c r="G60" s="11"/>
    </row>
    <row r="61" ht="12">
      <c r="G61" s="9"/>
    </row>
  </sheetData>
  <printOptions/>
  <pageMargins left="0.75" right="0.5" top="1" bottom="1" header="0.5" footer="0.5"/>
  <pageSetup fitToHeight="1" fitToWidth="1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="75" zoomScaleNormal="75" workbookViewId="0" topLeftCell="A15">
      <selection activeCell="C41" sqref="C4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10.375" style="2" customWidth="1"/>
    <col min="6" max="6" width="1.75390625" style="2" customWidth="1"/>
    <col min="7" max="7" width="10.75390625" style="2" customWidth="1"/>
    <col min="8" max="8" width="1.75390625" style="2" customWidth="1"/>
    <col min="9" max="9" width="10.125" style="2" customWidth="1"/>
    <col min="10" max="10" width="1.75390625" style="2" customWidth="1"/>
    <col min="11" max="11" width="17.125" style="2" customWidth="1"/>
    <col min="12" max="12" width="1.75390625" style="2" customWidth="1"/>
    <col min="13" max="13" width="11.125" style="2" customWidth="1"/>
    <col min="14" max="14" width="1.75390625" style="2" customWidth="1"/>
    <col min="15" max="15" width="19.125" style="2" customWidth="1"/>
    <col min="16" max="16" width="3.875" style="2" customWidth="1"/>
    <col min="17" max="17" width="9.875" style="2" customWidth="1"/>
    <col min="18" max="18" width="1.75390625" style="2" customWidth="1"/>
    <col min="19" max="19" width="9.625" style="2" customWidth="1"/>
    <col min="20" max="205" width="8.75390625" style="2" customWidth="1"/>
    <col min="206" max="16384" width="10.75390625" style="2" customWidth="1"/>
  </cols>
  <sheetData>
    <row r="1" spans="1:13" ht="12.75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 t="s">
        <v>7</v>
      </c>
    </row>
    <row r="2" spans="1:13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>
      <c r="A3" s="86" t="str">
        <f>'F-1'!A4</f>
        <v>Company:  Utilities, Inc. of Florida (602-Weathersfield)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 t="s">
        <v>87</v>
      </c>
    </row>
    <row r="4" spans="1:13" ht="12.75">
      <c r="A4" s="86" t="str">
        <f>'F-1'!A5</f>
        <v>Docket No.:  060253-WS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 t="s">
        <v>10</v>
      </c>
    </row>
    <row r="5" spans="1:13" ht="12.75">
      <c r="A5" s="86" t="str">
        <f>'F-1'!A6</f>
        <v>Test Year Ended:  December 31, 2005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 t="str">
        <f>'F-1'!J5</f>
        <v>Preparer:  Seidman, F.</v>
      </c>
    </row>
    <row r="6" spans="1:13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2.75">
      <c r="A7" s="86" t="s">
        <v>83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12.75">
      <c r="A8" s="86" t="s">
        <v>84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2.75">
      <c r="A9" s="86" t="s">
        <v>85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9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3:19" ht="12">
      <c r="C11" s="55" t="s">
        <v>16</v>
      </c>
      <c r="E11" s="55" t="s">
        <v>17</v>
      </c>
      <c r="G11" s="55" t="s">
        <v>18</v>
      </c>
      <c r="H11" s="5"/>
      <c r="I11" s="55" t="s">
        <v>19</v>
      </c>
      <c r="K11" s="55" t="s">
        <v>20</v>
      </c>
      <c r="L11" s="5"/>
      <c r="M11" s="55" t="s">
        <v>21</v>
      </c>
      <c r="N11" s="5"/>
      <c r="O11" s="55" t="s">
        <v>97</v>
      </c>
      <c r="P11" s="5"/>
      <c r="Q11" s="55" t="s">
        <v>98</v>
      </c>
      <c r="R11" s="5"/>
      <c r="S11" s="55" t="s">
        <v>101</v>
      </c>
    </row>
    <row r="12" spans="3:19" ht="12">
      <c r="C12" s="51"/>
      <c r="E12" s="100" t="s">
        <v>90</v>
      </c>
      <c r="F12" s="100"/>
      <c r="G12" s="100"/>
      <c r="H12" s="100"/>
      <c r="I12" s="100"/>
      <c r="K12" s="5" t="s">
        <v>94</v>
      </c>
      <c r="L12" s="5"/>
      <c r="M12" s="5" t="s">
        <v>95</v>
      </c>
      <c r="N12" s="5"/>
      <c r="O12" s="5" t="s">
        <v>36</v>
      </c>
      <c r="P12" s="5"/>
      <c r="Q12" s="5" t="s">
        <v>36</v>
      </c>
      <c r="R12" s="5"/>
      <c r="S12" s="5" t="s">
        <v>102</v>
      </c>
    </row>
    <row r="13" spans="1:19" ht="12">
      <c r="A13" s="2" t="s">
        <v>88</v>
      </c>
      <c r="C13" s="5"/>
      <c r="E13" s="49"/>
      <c r="F13" s="49"/>
      <c r="G13" s="49"/>
      <c r="H13" s="49"/>
      <c r="I13" s="49"/>
      <c r="K13" s="5" t="s">
        <v>26</v>
      </c>
      <c r="L13" s="5"/>
      <c r="M13" s="5" t="s">
        <v>94</v>
      </c>
      <c r="N13" s="5"/>
      <c r="O13" s="5" t="s">
        <v>26</v>
      </c>
      <c r="P13" s="5"/>
      <c r="Q13" s="5" t="s">
        <v>99</v>
      </c>
      <c r="R13" s="5"/>
      <c r="S13" s="5" t="s">
        <v>103</v>
      </c>
    </row>
    <row r="14" spans="1:19" ht="12">
      <c r="A14" s="2" t="s">
        <v>89</v>
      </c>
      <c r="C14" s="5" t="s">
        <v>29</v>
      </c>
      <c r="E14" s="5" t="s">
        <v>91</v>
      </c>
      <c r="F14" s="5"/>
      <c r="G14" s="5" t="s">
        <v>92</v>
      </c>
      <c r="H14" s="5"/>
      <c r="I14" s="5" t="s">
        <v>93</v>
      </c>
      <c r="K14" s="5" t="s">
        <v>32</v>
      </c>
      <c r="L14" s="5"/>
      <c r="M14" s="5" t="s">
        <v>96</v>
      </c>
      <c r="N14" s="5"/>
      <c r="O14" s="5" t="s">
        <v>32</v>
      </c>
      <c r="P14" s="5"/>
      <c r="Q14" s="5" t="s">
        <v>100</v>
      </c>
      <c r="R14" s="5"/>
      <c r="S14" s="5" t="s">
        <v>104</v>
      </c>
    </row>
    <row r="15" spans="1:19" ht="12">
      <c r="A15" s="49"/>
      <c r="C15" s="20"/>
      <c r="E15" s="49"/>
      <c r="G15" s="49"/>
      <c r="I15" s="49"/>
      <c r="K15" s="20"/>
      <c r="L15" s="5"/>
      <c r="M15" s="20"/>
      <c r="N15" s="5"/>
      <c r="O15" s="20"/>
      <c r="P15" s="5"/>
      <c r="Q15" s="20"/>
      <c r="R15" s="5"/>
      <c r="S15" s="20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E17" s="70">
        <v>1166</v>
      </c>
      <c r="F17" s="70"/>
      <c r="G17" s="70">
        <v>1166</v>
      </c>
      <c r="H17" s="70"/>
      <c r="I17" s="70">
        <f>+(E17+G17)/2</f>
        <v>1166</v>
      </c>
      <c r="J17" s="71"/>
      <c r="K17" s="70">
        <v>99675403</v>
      </c>
      <c r="L17" s="70"/>
      <c r="M17" s="70">
        <f>+K17/I17</f>
        <v>85484.90823327616</v>
      </c>
      <c r="N17" s="70"/>
      <c r="O17" s="70">
        <v>103059283</v>
      </c>
      <c r="P17" s="70"/>
      <c r="Q17" s="70">
        <f>+O17/M17</f>
        <v>1205.5845310000902</v>
      </c>
      <c r="R17" s="72"/>
      <c r="S17" s="73"/>
    </row>
    <row r="18" spans="1:19" ht="15.75">
      <c r="A18" s="5"/>
      <c r="C18" s="5"/>
      <c r="E18" s="70"/>
      <c r="F18" s="70"/>
      <c r="G18" s="70"/>
      <c r="H18" s="70"/>
      <c r="I18" s="70"/>
      <c r="J18" s="71"/>
      <c r="K18" s="70"/>
      <c r="L18" s="70"/>
      <c r="M18" s="70"/>
      <c r="N18" s="70"/>
      <c r="O18" s="70"/>
      <c r="P18" s="70"/>
      <c r="Q18" s="70"/>
      <c r="R18" s="72"/>
      <c r="S18" s="73"/>
    </row>
    <row r="19" spans="1:19" ht="16.5">
      <c r="A19" s="5">
        <v>2</v>
      </c>
      <c r="C19" s="5">
        <v>2002</v>
      </c>
      <c r="E19" s="70">
        <f>G17</f>
        <v>1166</v>
      </c>
      <c r="F19" s="70"/>
      <c r="G19" s="70">
        <v>1163</v>
      </c>
      <c r="H19" s="74"/>
      <c r="I19" s="70">
        <f>+(E19+G19)/2</f>
        <v>1164.5</v>
      </c>
      <c r="J19" s="71"/>
      <c r="K19" s="70">
        <v>100777593</v>
      </c>
      <c r="L19" s="70"/>
      <c r="M19" s="70">
        <f>+K19/I19</f>
        <v>86541.5139544869</v>
      </c>
      <c r="N19" s="70"/>
      <c r="O19" s="70">
        <v>107367013</v>
      </c>
      <c r="P19" s="70"/>
      <c r="Q19" s="70">
        <f>+O19/M19</f>
        <v>1240.6417231903922</v>
      </c>
      <c r="R19" s="72"/>
      <c r="S19" s="73">
        <f>+(Q19/Q17)-1</f>
        <v>0.0290789996792844</v>
      </c>
    </row>
    <row r="20" spans="1:19" ht="15.75">
      <c r="A20" s="5"/>
      <c r="C20" s="5"/>
      <c r="E20" s="70"/>
      <c r="F20" s="70"/>
      <c r="G20" s="70"/>
      <c r="H20" s="70"/>
      <c r="I20" s="70"/>
      <c r="J20" s="71"/>
      <c r="K20" s="70"/>
      <c r="L20" s="70"/>
      <c r="M20" s="70"/>
      <c r="N20" s="70"/>
      <c r="O20" s="70"/>
      <c r="P20" s="70"/>
      <c r="Q20" s="70"/>
      <c r="R20" s="72"/>
      <c r="S20" s="73"/>
    </row>
    <row r="21" spans="1:19" ht="15.75">
      <c r="A21" s="5">
        <v>3</v>
      </c>
      <c r="C21" s="5">
        <v>2003</v>
      </c>
      <c r="E21" s="70">
        <f>G19</f>
        <v>1163</v>
      </c>
      <c r="F21" s="70"/>
      <c r="G21" s="70">
        <v>1116</v>
      </c>
      <c r="H21" s="70"/>
      <c r="I21" s="70">
        <f>+(E21+G21)/2</f>
        <v>1139.5</v>
      </c>
      <c r="J21" s="71"/>
      <c r="K21" s="70">
        <v>91294844</v>
      </c>
      <c r="L21" s="70"/>
      <c r="M21" s="70">
        <f>+K21/I21</f>
        <v>80118.33611232997</v>
      </c>
      <c r="N21" s="70"/>
      <c r="O21" s="70">
        <v>95584418</v>
      </c>
      <c r="P21" s="70"/>
      <c r="Q21" s="70">
        <f>+O21/M21</f>
        <v>1193.0404778499867</v>
      </c>
      <c r="R21" s="72"/>
      <c r="S21" s="73">
        <f>+(Q21/Q19)-1</f>
        <v>-0.038368244796729734</v>
      </c>
    </row>
    <row r="22" spans="1:19" ht="15.75">
      <c r="A22" s="5"/>
      <c r="C22" s="5"/>
      <c r="E22" s="70"/>
      <c r="F22" s="70"/>
      <c r="G22" s="70"/>
      <c r="H22" s="70"/>
      <c r="I22" s="70"/>
      <c r="J22" s="71"/>
      <c r="K22" s="70"/>
      <c r="L22" s="70"/>
      <c r="M22" s="70"/>
      <c r="N22" s="70"/>
      <c r="O22" s="70"/>
      <c r="P22" s="70"/>
      <c r="Q22" s="70"/>
      <c r="R22" s="72"/>
      <c r="S22" s="73"/>
    </row>
    <row r="23" spans="1:19" ht="15.75">
      <c r="A23" s="5">
        <v>4</v>
      </c>
      <c r="C23" s="5">
        <v>2004</v>
      </c>
      <c r="E23" s="70">
        <f>G21</f>
        <v>1116</v>
      </c>
      <c r="F23" s="70"/>
      <c r="G23" s="70">
        <v>1172</v>
      </c>
      <c r="H23" s="70"/>
      <c r="I23" s="70">
        <f>+(E23+G23)/2</f>
        <v>1144</v>
      </c>
      <c r="J23" s="71"/>
      <c r="K23" s="70">
        <v>91707516</v>
      </c>
      <c r="L23" s="70"/>
      <c r="M23" s="70">
        <f>+K23/I23</f>
        <v>80163.91258741259</v>
      </c>
      <c r="N23" s="70"/>
      <c r="O23" s="70">
        <v>94476545</v>
      </c>
      <c r="P23" s="70"/>
      <c r="Q23" s="70">
        <f>+O23/M23</f>
        <v>1178.5420889602985</v>
      </c>
      <c r="R23" s="72"/>
      <c r="S23" s="73">
        <f>+(Q23/Q21)-1</f>
        <v>-0.01215247022952326</v>
      </c>
    </row>
    <row r="24" spans="1:19" ht="15.75">
      <c r="A24" s="5"/>
      <c r="C24" s="5"/>
      <c r="E24" s="70"/>
      <c r="F24" s="70"/>
      <c r="G24" s="70"/>
      <c r="H24" s="70"/>
      <c r="I24" s="70"/>
      <c r="J24" s="71"/>
      <c r="K24" s="70"/>
      <c r="L24" s="70"/>
      <c r="M24" s="70"/>
      <c r="N24" s="70"/>
      <c r="O24" s="70"/>
      <c r="P24" s="70"/>
      <c r="Q24" s="70"/>
      <c r="R24" s="72"/>
      <c r="S24" s="73"/>
    </row>
    <row r="25" spans="1:19" ht="15.75">
      <c r="A25" s="5">
        <v>5</v>
      </c>
      <c r="C25" s="5">
        <v>2005</v>
      </c>
      <c r="E25" s="70">
        <f>G23</f>
        <v>1172</v>
      </c>
      <c r="F25" s="70"/>
      <c r="G25" s="70">
        <v>1178</v>
      </c>
      <c r="H25" s="70"/>
      <c r="I25" s="70">
        <f>+(E25+G25)/2</f>
        <v>1175</v>
      </c>
      <c r="J25" s="71"/>
      <c r="K25" s="70">
        <v>88712908</v>
      </c>
      <c r="L25" s="70"/>
      <c r="M25" s="70">
        <f>+K25/I25</f>
        <v>75500.34723404255</v>
      </c>
      <c r="N25" s="70"/>
      <c r="O25" s="70">
        <v>91318176</v>
      </c>
      <c r="P25" s="70"/>
      <c r="Q25" s="70">
        <f>+O25/M25</f>
        <v>1209.5067022264675</v>
      </c>
      <c r="R25" s="72"/>
      <c r="S25" s="73">
        <f>+(Q25/Q23)-1</f>
        <v>0.026273659257672888</v>
      </c>
    </row>
    <row r="26" spans="1:19" ht="16.5" thickBot="1">
      <c r="A26" s="5"/>
      <c r="E26" s="75"/>
      <c r="F26" s="75"/>
      <c r="G26" s="75"/>
      <c r="H26" s="75"/>
      <c r="I26" s="75"/>
      <c r="J26" s="75"/>
      <c r="K26" s="72"/>
      <c r="L26" s="72"/>
      <c r="M26" s="72"/>
      <c r="N26" s="72"/>
      <c r="O26" s="76" t="s">
        <v>105</v>
      </c>
      <c r="P26" s="72"/>
      <c r="Q26" s="72"/>
      <c r="R26" s="72"/>
      <c r="S26" s="77">
        <f>AVERAGE(S19:S25)</f>
        <v>0.0012079859776760737</v>
      </c>
    </row>
    <row r="27" spans="5:19" ht="16.5" thickTop="1"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5:19" ht="15.75">
      <c r="E28" s="75"/>
      <c r="F28" s="75"/>
      <c r="G28" s="75"/>
      <c r="H28" s="75" t="s">
        <v>188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8"/>
    </row>
    <row r="29" spans="3:19" ht="15.75">
      <c r="C29" s="4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9" t="s">
        <v>189</v>
      </c>
      <c r="Q29" s="80" t="s">
        <v>190</v>
      </c>
      <c r="R29" s="75"/>
      <c r="S29" s="75"/>
    </row>
    <row r="30" spans="3:19" ht="15.75">
      <c r="C30" s="45"/>
      <c r="E30" s="75"/>
      <c r="F30" s="75"/>
      <c r="G30" s="75"/>
      <c r="H30" s="75"/>
      <c r="I30" s="75"/>
      <c r="J30" s="75" t="s">
        <v>191</v>
      </c>
      <c r="K30" s="75"/>
      <c r="L30" s="75"/>
      <c r="M30" s="75">
        <f>INTERCEPT(Q30:Q34,P30:P34)</f>
        <v>1221.739692178648</v>
      </c>
      <c r="N30" s="75"/>
      <c r="O30" s="72"/>
      <c r="P30" s="75">
        <v>1</v>
      </c>
      <c r="Q30" s="70">
        <f>+Q17</f>
        <v>1205.5845310000902</v>
      </c>
      <c r="R30" s="75"/>
      <c r="S30" s="75"/>
    </row>
    <row r="31" spans="3:19" ht="15.75">
      <c r="C31" s="45"/>
      <c r="E31" s="75"/>
      <c r="F31" s="75"/>
      <c r="G31" s="75"/>
      <c r="H31" s="75"/>
      <c r="I31" s="75"/>
      <c r="J31" s="75" t="s">
        <v>192</v>
      </c>
      <c r="K31" s="75"/>
      <c r="L31" s="75"/>
      <c r="M31" s="75">
        <f>SLOPE(Q30:Q34,P30:P34)</f>
        <v>-5.425529177733697</v>
      </c>
      <c r="N31" s="75"/>
      <c r="O31" s="75"/>
      <c r="P31" s="75">
        <v>2</v>
      </c>
      <c r="Q31" s="70">
        <f>+Q19</f>
        <v>1240.6417231903922</v>
      </c>
      <c r="R31" s="75"/>
      <c r="S31" s="75"/>
    </row>
    <row r="32" spans="5:19" ht="15.75">
      <c r="E32" s="75"/>
      <c r="F32" s="75"/>
      <c r="G32" s="75"/>
      <c r="H32" s="75"/>
      <c r="I32" s="75"/>
      <c r="J32" s="75" t="s">
        <v>193</v>
      </c>
      <c r="K32" s="75"/>
      <c r="L32" s="75"/>
      <c r="M32" s="75">
        <f>RSQ(Q30:Q34,P30:P34)</f>
        <v>0.1380069028162896</v>
      </c>
      <c r="N32" s="75"/>
      <c r="O32" s="75"/>
      <c r="P32" s="75">
        <v>3</v>
      </c>
      <c r="Q32" s="70">
        <f>+Q21</f>
        <v>1193.0404778499867</v>
      </c>
      <c r="R32" s="75"/>
      <c r="S32" s="75"/>
    </row>
    <row r="33" spans="1:19" ht="15.75">
      <c r="A33" s="1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>
        <v>4</v>
      </c>
      <c r="Q33" s="70">
        <f>+Q23</f>
        <v>1178.5420889602985</v>
      </c>
      <c r="R33" s="75"/>
      <c r="S33" s="75"/>
    </row>
    <row r="34" spans="1:19" ht="15.75">
      <c r="A34" s="1"/>
      <c r="E34" s="75"/>
      <c r="F34" s="75"/>
      <c r="G34" s="75"/>
      <c r="H34" s="75"/>
      <c r="I34" s="75"/>
      <c r="J34" s="75"/>
      <c r="K34" s="75"/>
      <c r="L34" s="75"/>
      <c r="M34" s="81"/>
      <c r="N34" s="75"/>
      <c r="O34" s="75"/>
      <c r="P34" s="75">
        <v>5</v>
      </c>
      <c r="Q34" s="70">
        <f>+Q25</f>
        <v>1209.5067022264675</v>
      </c>
      <c r="R34" s="75"/>
      <c r="S34" s="75"/>
    </row>
    <row r="35" spans="1:17" ht="15.75">
      <c r="A35" s="1"/>
      <c r="M35" s="1"/>
      <c r="P35" s="75">
        <v>10</v>
      </c>
      <c r="Q35" s="92">
        <f>M30+M31*P35</f>
        <v>1167.4844004013112</v>
      </c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3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1:12" ht="18.75">
      <c r="K58" s="11"/>
      <c r="L58" s="50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7">
      <selection activeCell="A36" sqref="A36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6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0" ht="12.75">
      <c r="A1" s="86" t="s">
        <v>38</v>
      </c>
      <c r="B1" s="87"/>
      <c r="C1" s="87"/>
      <c r="D1" s="87"/>
      <c r="E1" s="87"/>
      <c r="F1" s="87"/>
      <c r="G1" s="87"/>
      <c r="H1" s="87"/>
      <c r="I1" s="87"/>
      <c r="J1" s="86" t="s">
        <v>7</v>
      </c>
    </row>
    <row r="2" spans="1:10" ht="12.75">
      <c r="A2" s="86" t="s">
        <v>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6" t="s">
        <v>39</v>
      </c>
    </row>
    <row r="4" spans="1:10" ht="12.75">
      <c r="A4" s="86" t="str">
        <f>'F-1'!A4</f>
        <v>Company:  Utilities, Inc. of Florida (602-Weathersfield)</v>
      </c>
      <c r="B4" s="87"/>
      <c r="C4" s="87"/>
      <c r="D4" s="87"/>
      <c r="E4" s="87"/>
      <c r="F4" s="87"/>
      <c r="G4" s="87"/>
      <c r="H4" s="87"/>
      <c r="I4" s="87"/>
      <c r="J4" s="86" t="s">
        <v>10</v>
      </c>
    </row>
    <row r="5" spans="1:10" ht="12.75">
      <c r="A5" s="86" t="str">
        <f>'F-1'!A5</f>
        <v>Docket No.:  060253-WS</v>
      </c>
      <c r="B5" s="87"/>
      <c r="C5" s="87"/>
      <c r="D5" s="87"/>
      <c r="E5" s="87"/>
      <c r="F5" s="87"/>
      <c r="G5" s="87"/>
      <c r="H5" s="87"/>
      <c r="I5" s="87"/>
      <c r="J5" s="86" t="str">
        <f>'F-1'!J5</f>
        <v>Preparer:  Seidman, F.</v>
      </c>
    </row>
    <row r="6" spans="1:10" ht="12.75">
      <c r="A6" s="86" t="str">
        <f>'F-1'!A6</f>
        <v>Test Year Ended:  December 31, 2005</v>
      </c>
      <c r="B6" s="87"/>
      <c r="C6" s="88"/>
      <c r="D6" s="87"/>
      <c r="E6" s="87"/>
      <c r="F6" s="87"/>
      <c r="G6" s="87"/>
      <c r="H6" s="87"/>
      <c r="I6" s="87"/>
      <c r="J6" s="87"/>
    </row>
    <row r="7" spans="1:10" ht="12.75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ht="12.75">
      <c r="A8" s="86" t="s">
        <v>41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ht="12.75">
      <c r="A9" s="86" t="s">
        <v>168</v>
      </c>
      <c r="B9" s="87"/>
      <c r="C9" s="87"/>
      <c r="D9" s="87"/>
      <c r="E9" s="87"/>
      <c r="F9" s="87"/>
      <c r="G9" s="87"/>
      <c r="H9" s="87"/>
      <c r="I9" s="87"/>
      <c r="J9" s="87"/>
    </row>
    <row r="10" spans="1:13" ht="12">
      <c r="A10" s="4" t="s">
        <v>15</v>
      </c>
      <c r="B10" s="4" t="s">
        <v>15</v>
      </c>
      <c r="C10" s="4" t="s">
        <v>15</v>
      </c>
      <c r="D10" s="4" t="s">
        <v>15</v>
      </c>
      <c r="E10" s="4" t="s">
        <v>15</v>
      </c>
      <c r="F10" s="4" t="s">
        <v>15</v>
      </c>
      <c r="G10" s="4" t="s">
        <v>15</v>
      </c>
      <c r="H10" s="4" t="s">
        <v>15</v>
      </c>
      <c r="I10" s="4" t="s">
        <v>15</v>
      </c>
      <c r="J10" s="4" t="s">
        <v>15</v>
      </c>
      <c r="K10" s="17" t="s">
        <v>15</v>
      </c>
      <c r="L10" s="4" t="s">
        <v>15</v>
      </c>
      <c r="M10" s="4" t="s">
        <v>15</v>
      </c>
    </row>
    <row r="11" spans="3:13" ht="12">
      <c r="C11" s="5" t="s">
        <v>16</v>
      </c>
      <c r="E11" s="5" t="s">
        <v>17</v>
      </c>
      <c r="G11" s="5" t="s">
        <v>18</v>
      </c>
      <c r="I11" s="5" t="s">
        <v>19</v>
      </c>
      <c r="K11" s="18" t="s">
        <v>20</v>
      </c>
      <c r="M11" s="5" t="s">
        <v>21</v>
      </c>
    </row>
    <row r="12" spans="5:13" ht="12">
      <c r="E12" s="19" t="s">
        <v>42</v>
      </c>
      <c r="F12" s="19"/>
      <c r="G12" s="19"/>
      <c r="M12" s="5" t="s">
        <v>43</v>
      </c>
    </row>
    <row r="13" spans="1:13" ht="12">
      <c r="A13" s="5" t="s">
        <v>24</v>
      </c>
      <c r="C13" s="4" t="s">
        <v>15</v>
      </c>
      <c r="D13" s="4" t="s">
        <v>15</v>
      </c>
      <c r="E13" s="4" t="s">
        <v>15</v>
      </c>
      <c r="F13" s="4" t="s">
        <v>15</v>
      </c>
      <c r="G13" s="4" t="s">
        <v>15</v>
      </c>
      <c r="H13" s="4" t="s">
        <v>15</v>
      </c>
      <c r="I13" s="4" t="s">
        <v>15</v>
      </c>
      <c r="K13" s="18" t="s">
        <v>44</v>
      </c>
      <c r="M13" s="5" t="s">
        <v>45</v>
      </c>
    </row>
    <row r="14" spans="1:13" ht="12">
      <c r="A14" s="5" t="s">
        <v>29</v>
      </c>
      <c r="C14" s="5" t="s">
        <v>46</v>
      </c>
      <c r="E14" s="5" t="s">
        <v>46</v>
      </c>
      <c r="G14" s="5" t="s">
        <v>46</v>
      </c>
      <c r="I14" s="5" t="s">
        <v>46</v>
      </c>
      <c r="K14" s="18" t="s">
        <v>47</v>
      </c>
      <c r="M14" s="5" t="s">
        <v>48</v>
      </c>
    </row>
    <row r="15" spans="1:13" ht="12">
      <c r="A15" s="4" t="s">
        <v>15</v>
      </c>
      <c r="C15" s="20"/>
      <c r="E15" s="4" t="s">
        <v>15</v>
      </c>
      <c r="G15" s="4" t="s">
        <v>15</v>
      </c>
      <c r="I15" s="4" t="s">
        <v>15</v>
      </c>
      <c r="K15" s="17" t="s">
        <v>15</v>
      </c>
      <c r="M15" s="4" t="s">
        <v>15</v>
      </c>
    </row>
    <row r="16" spans="1:13" ht="12">
      <c r="A16" s="12">
        <v>38353</v>
      </c>
      <c r="C16" s="13"/>
      <c r="D16" s="13"/>
      <c r="E16" s="13"/>
      <c r="F16" s="13"/>
      <c r="G16" s="13"/>
      <c r="H16" s="13"/>
      <c r="I16" s="13"/>
      <c r="J16" s="13"/>
      <c r="K16" s="13">
        <f aca="true" t="shared" si="0" ref="K16:K27">C16+E16+G16+I16</f>
        <v>0</v>
      </c>
      <c r="L16" s="13"/>
      <c r="M16" s="13">
        <v>4.697302</v>
      </c>
    </row>
    <row r="17" spans="1:13" ht="12">
      <c r="A17" s="12">
        <v>38384</v>
      </c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>
        <v>4.604354</v>
      </c>
    </row>
    <row r="18" spans="1:13" ht="12">
      <c r="A18" s="12">
        <v>38412</v>
      </c>
      <c r="C18" s="13"/>
      <c r="D18" s="13"/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>
        <v>4.927882</v>
      </c>
    </row>
    <row r="19" spans="1:13" ht="12">
      <c r="A19" s="12">
        <v>38443</v>
      </c>
      <c r="C19" s="13"/>
      <c r="D19" s="13"/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>
        <v>6.174792</v>
      </c>
    </row>
    <row r="20" spans="1:13" ht="12">
      <c r="A20" s="12">
        <v>38473</v>
      </c>
      <c r="C20" s="13"/>
      <c r="D20" s="62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>
        <v>5.750066</v>
      </c>
    </row>
    <row r="21" spans="1:13" ht="12">
      <c r="A21" s="12">
        <v>38504</v>
      </c>
      <c r="C21" s="13"/>
      <c r="D21" s="62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>
        <v>4.740491</v>
      </c>
    </row>
    <row r="22" spans="1:13" ht="12">
      <c r="A22" s="12">
        <v>38534</v>
      </c>
      <c r="C22" s="13"/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/>
      <c r="M22" s="13">
        <v>5.874991</v>
      </c>
    </row>
    <row r="23" spans="1:13" ht="12">
      <c r="A23" s="12">
        <v>38565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/>
      <c r="M23" s="13">
        <v>5.57859</v>
      </c>
    </row>
    <row r="24" spans="1:13" ht="12">
      <c r="A24" s="12">
        <v>38596</v>
      </c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3"/>
      <c r="M24" s="13">
        <v>6.415222</v>
      </c>
    </row>
    <row r="25" spans="1:13" ht="12">
      <c r="A25" s="12">
        <v>38626</v>
      </c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3"/>
      <c r="M25" s="13">
        <v>4.917817</v>
      </c>
    </row>
    <row r="26" spans="1:13" ht="12">
      <c r="A26" s="12">
        <v>38657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/>
      <c r="M26" s="13">
        <v>5.395202</v>
      </c>
    </row>
    <row r="27" spans="1:13" ht="12">
      <c r="A27" s="12">
        <v>38687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/>
      <c r="M27" s="13">
        <v>4.612482</v>
      </c>
    </row>
    <row r="28" spans="1:13" ht="12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5"/>
      <c r="C29" s="13"/>
      <c r="D29" s="13"/>
      <c r="E29" s="13"/>
      <c r="F29" s="13"/>
      <c r="G29" s="13"/>
      <c r="H29" s="13"/>
      <c r="I29" s="8"/>
      <c r="J29" s="13"/>
      <c r="K29" s="13"/>
      <c r="L29" s="13"/>
      <c r="M29" s="13"/>
    </row>
    <row r="30" spans="3:13" ht="12">
      <c r="C30" s="8" t="s">
        <v>35</v>
      </c>
      <c r="D30" s="13"/>
      <c r="E30" s="8" t="s">
        <v>35</v>
      </c>
      <c r="F30" s="13"/>
      <c r="G30" s="8" t="s">
        <v>35</v>
      </c>
      <c r="H30" s="13"/>
      <c r="I30" s="8" t="s">
        <v>35</v>
      </c>
      <c r="J30" s="13"/>
      <c r="K30" s="8" t="s">
        <v>35</v>
      </c>
      <c r="L30" s="13"/>
      <c r="M30" s="8" t="s">
        <v>35</v>
      </c>
    </row>
    <row r="31" spans="1:13" ht="12">
      <c r="A31" s="5" t="s">
        <v>36</v>
      </c>
      <c r="C31" s="13">
        <f>SUM(C16:C30)</f>
        <v>0</v>
      </c>
      <c r="D31" s="13"/>
      <c r="E31" s="13"/>
      <c r="F31" s="13"/>
      <c r="G31" s="13"/>
      <c r="H31" s="13"/>
      <c r="I31" s="13"/>
      <c r="J31" s="13"/>
      <c r="K31" s="13">
        <f>SUM(K16:K30)</f>
        <v>0</v>
      </c>
      <c r="L31" s="13"/>
      <c r="M31" s="13">
        <f>SUM(M16:M27)</f>
        <v>63.689190999999994</v>
      </c>
    </row>
    <row r="32" spans="3:13" ht="12">
      <c r="C32" s="17" t="s">
        <v>37</v>
      </c>
      <c r="E32" s="4" t="s">
        <v>37</v>
      </c>
      <c r="G32" s="4" t="s">
        <v>37</v>
      </c>
      <c r="I32" s="4" t="s">
        <v>37</v>
      </c>
      <c r="K32" s="17" t="s">
        <v>37</v>
      </c>
      <c r="M32" s="4" t="s">
        <v>37</v>
      </c>
    </row>
    <row r="33" ht="12">
      <c r="C33" s="2" t="s">
        <v>160</v>
      </c>
    </row>
    <row r="35" ht="12">
      <c r="A35" s="2" t="s">
        <v>218</v>
      </c>
    </row>
    <row r="49" ht="24">
      <c r="G49" s="83"/>
    </row>
    <row r="54" spans="1:11" ht="10.5" customHeight="1">
      <c r="A54" s="10"/>
      <c r="K54" s="2"/>
    </row>
    <row r="58" ht="18.75">
      <c r="G58" s="11"/>
    </row>
    <row r="61" spans="1:11" s="22" customFormat="1" ht="18.75">
      <c r="A61" s="27"/>
      <c r="B61" s="28"/>
      <c r="C61" s="28"/>
      <c r="D61" s="28"/>
      <c r="E61" s="28"/>
      <c r="F61" s="28"/>
      <c r="H61" s="28"/>
      <c r="J61" s="28"/>
      <c r="K61" s="28"/>
    </row>
  </sheetData>
  <printOptions/>
  <pageMargins left="0.75" right="0.5" top="1" bottom="1" header="0.5" footer="0.5"/>
  <pageSetup fitToHeight="1" fitToWidth="1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F7">
      <selection activeCell="F28" sqref="F28"/>
    </sheetView>
  </sheetViews>
  <sheetFormatPr defaultColWidth="9.00390625" defaultRowHeight="12.75"/>
  <cols>
    <col min="1" max="1" width="4.25390625" style="22" customWidth="1"/>
    <col min="2" max="5" width="8.75390625" style="22" customWidth="1"/>
    <col min="6" max="6" width="9.625" style="22" customWidth="1"/>
    <col min="7" max="7" width="8.75390625" style="22" customWidth="1"/>
    <col min="8" max="8" width="21.875" style="22" customWidth="1"/>
    <col min="9" max="9" width="6.75390625" style="22" customWidth="1"/>
    <col min="10" max="10" width="14.25390625" style="22" customWidth="1"/>
    <col min="11" max="11" width="14.75390625" style="22" customWidth="1"/>
    <col min="12" max="12" width="10.75390625" style="22" customWidth="1"/>
    <col min="13" max="13" width="5.75390625" style="22" customWidth="1"/>
    <col min="14" max="194" width="8.75390625" style="22" customWidth="1"/>
    <col min="195" max="16384" width="10.75390625" style="22" customWidth="1"/>
  </cols>
  <sheetData>
    <row r="1" spans="1:10" ht="12.75">
      <c r="A1" s="89" t="s">
        <v>49</v>
      </c>
      <c r="B1" s="90"/>
      <c r="C1" s="90"/>
      <c r="D1" s="90"/>
      <c r="E1" s="90"/>
      <c r="F1" s="90"/>
      <c r="G1" s="90"/>
      <c r="H1" s="89" t="s">
        <v>7</v>
      </c>
      <c r="J1" s="23"/>
    </row>
    <row r="2" spans="1:10" ht="12.75">
      <c r="A2" s="90"/>
      <c r="B2" s="90"/>
      <c r="C2" s="90"/>
      <c r="D2" s="90"/>
      <c r="E2" s="90"/>
      <c r="F2" s="90"/>
      <c r="G2" s="90"/>
      <c r="H2" s="90"/>
      <c r="J2" s="23"/>
    </row>
    <row r="3" spans="1:10" ht="12.75">
      <c r="A3" s="89" t="str">
        <f>'F-1'!A4</f>
        <v>Company:  Utilities, Inc. of Florida (602-Weathersfield)</v>
      </c>
      <c r="B3" s="90"/>
      <c r="C3" s="90"/>
      <c r="D3" s="90"/>
      <c r="E3" s="90"/>
      <c r="F3" s="90"/>
      <c r="G3" s="90"/>
      <c r="H3" s="89" t="s">
        <v>50</v>
      </c>
      <c r="J3" s="23"/>
    </row>
    <row r="4" spans="1:10" ht="12.75">
      <c r="A4" s="89" t="str">
        <f>'F-1'!A5</f>
        <v>Docket No.:  060253-WS</v>
      </c>
      <c r="B4" s="90"/>
      <c r="C4" s="90"/>
      <c r="D4" s="90"/>
      <c r="E4" s="90"/>
      <c r="F4" s="90"/>
      <c r="G4" s="90"/>
      <c r="H4" s="89" t="s">
        <v>200</v>
      </c>
      <c r="J4" s="23"/>
    </row>
    <row r="5" spans="1:10" ht="12.75">
      <c r="A5" s="89" t="str">
        <f>'F-1'!A6</f>
        <v>Test Year Ended:  December 31, 2005</v>
      </c>
      <c r="B5" s="90"/>
      <c r="C5" s="90"/>
      <c r="D5" s="90"/>
      <c r="E5" s="90"/>
      <c r="F5" s="90"/>
      <c r="G5" s="90"/>
      <c r="H5" s="89" t="str">
        <f>'F-1'!J5</f>
        <v>Preparer:  Seidman, F.</v>
      </c>
      <c r="J5" s="23"/>
    </row>
    <row r="6" spans="1:8" ht="12.75">
      <c r="A6" s="90"/>
      <c r="B6" s="90"/>
      <c r="C6" s="90"/>
      <c r="D6" s="90"/>
      <c r="E6" s="90"/>
      <c r="F6" s="90"/>
      <c r="G6" s="90"/>
      <c r="H6" s="90"/>
    </row>
    <row r="7" spans="1:8" ht="12.75">
      <c r="A7" s="89" t="s">
        <v>51</v>
      </c>
      <c r="B7" s="90"/>
      <c r="C7" s="90"/>
      <c r="D7" s="90"/>
      <c r="E7" s="90"/>
      <c r="F7" s="90"/>
      <c r="G7" s="90"/>
      <c r="H7" s="90"/>
    </row>
    <row r="8" spans="1:8" ht="12.75">
      <c r="A8" s="89" t="s">
        <v>52</v>
      </c>
      <c r="B8" s="90"/>
      <c r="C8" s="90"/>
      <c r="D8" s="90"/>
      <c r="E8" s="90"/>
      <c r="F8" s="90"/>
      <c r="G8" s="90"/>
      <c r="H8" s="90"/>
    </row>
    <row r="9" spans="1:8" ht="12.75">
      <c r="A9" s="89" t="s">
        <v>169</v>
      </c>
      <c r="B9" s="90"/>
      <c r="C9" s="90"/>
      <c r="D9" s="90"/>
      <c r="E9" s="90"/>
      <c r="F9" s="90"/>
      <c r="G9" s="90"/>
      <c r="H9" s="90"/>
    </row>
    <row r="10" spans="1:13" ht="12.75">
      <c r="A10" s="24" t="s">
        <v>15</v>
      </c>
      <c r="B10" s="24" t="s">
        <v>15</v>
      </c>
      <c r="C10" s="24" t="s">
        <v>15</v>
      </c>
      <c r="D10" s="24" t="s">
        <v>15</v>
      </c>
      <c r="E10" s="24" t="s">
        <v>15</v>
      </c>
      <c r="F10" s="24" t="s">
        <v>15</v>
      </c>
      <c r="G10" s="24" t="s">
        <v>15</v>
      </c>
      <c r="H10" s="24" t="s">
        <v>15</v>
      </c>
      <c r="I10" s="24" t="s">
        <v>15</v>
      </c>
      <c r="J10" s="24" t="s">
        <v>15</v>
      </c>
      <c r="K10" s="24" t="s">
        <v>15</v>
      </c>
      <c r="L10"/>
      <c r="M10"/>
    </row>
    <row r="11" spans="10:11" s="25" customFormat="1" ht="12">
      <c r="J11" s="54" t="s">
        <v>53</v>
      </c>
      <c r="K11" s="54" t="s">
        <v>54</v>
      </c>
    </row>
    <row r="12" spans="1:11" s="25" customFormat="1" ht="13.5">
      <c r="A12" s="94">
        <v>1</v>
      </c>
      <c r="B12" s="95" t="s">
        <v>55</v>
      </c>
      <c r="C12" s="96"/>
      <c r="D12" s="94"/>
      <c r="E12" s="94"/>
      <c r="F12" s="94"/>
      <c r="G12" s="94"/>
      <c r="H12" s="94"/>
      <c r="J12" s="22"/>
      <c r="K12" s="22"/>
    </row>
    <row r="13" spans="1:11" s="25" customFormat="1" ht="13.5">
      <c r="A13" s="94"/>
      <c r="B13" s="95" t="s">
        <v>56</v>
      </c>
      <c r="C13" s="96"/>
      <c r="D13" s="97"/>
      <c r="E13" s="97"/>
      <c r="F13" s="97"/>
      <c r="G13" s="97"/>
      <c r="H13" s="94"/>
      <c r="J13" s="69" t="s">
        <v>40</v>
      </c>
      <c r="K13" s="67">
        <v>864000</v>
      </c>
    </row>
    <row r="14" spans="1:8" s="25" customFormat="1" ht="13.5">
      <c r="A14" s="94"/>
      <c r="B14" s="95" t="s">
        <v>170</v>
      </c>
      <c r="C14" s="94"/>
      <c r="D14" s="94"/>
      <c r="E14" s="94"/>
      <c r="F14" s="94"/>
      <c r="G14" s="94"/>
      <c r="H14" s="94"/>
    </row>
    <row r="15" spans="1:8" s="25" customFormat="1" ht="13.5">
      <c r="A15" s="94"/>
      <c r="B15" s="95" t="s">
        <v>187</v>
      </c>
      <c r="C15" s="94"/>
      <c r="D15" s="94"/>
      <c r="E15" s="94"/>
      <c r="F15" s="94"/>
      <c r="G15" s="94"/>
      <c r="H15" s="94"/>
    </row>
    <row r="16" spans="1:8" s="25" customFormat="1" ht="13.5">
      <c r="A16" s="94"/>
      <c r="B16" s="95"/>
      <c r="C16" s="94"/>
      <c r="D16" s="94"/>
      <c r="E16" s="94"/>
      <c r="F16" s="94"/>
      <c r="G16" s="94"/>
      <c r="H16" s="94"/>
    </row>
    <row r="17" spans="1:8" s="25" customFormat="1" ht="13.5">
      <c r="A17" s="94">
        <v>2</v>
      </c>
      <c r="B17" s="95" t="s">
        <v>57</v>
      </c>
      <c r="C17" s="96"/>
      <c r="D17" s="94"/>
      <c r="E17" s="94"/>
      <c r="F17" s="94"/>
      <c r="G17" s="94"/>
      <c r="H17" s="94"/>
    </row>
    <row r="18" spans="1:11" s="25" customFormat="1" ht="13.5">
      <c r="A18" s="94"/>
      <c r="B18" s="95" t="s">
        <v>58</v>
      </c>
      <c r="C18" s="94"/>
      <c r="D18" s="94"/>
      <c r="E18" s="94"/>
      <c r="F18" s="94"/>
      <c r="G18" s="94"/>
      <c r="H18" s="94"/>
      <c r="J18" s="85">
        <v>38565</v>
      </c>
      <c r="K18" s="57">
        <v>582000</v>
      </c>
    </row>
    <row r="19" spans="1:10" s="25" customFormat="1" ht="13.5">
      <c r="A19" s="94"/>
      <c r="B19" s="95" t="s">
        <v>171</v>
      </c>
      <c r="C19" s="94"/>
      <c r="D19" s="94"/>
      <c r="E19" s="94"/>
      <c r="F19" s="94"/>
      <c r="G19" s="94"/>
      <c r="H19" s="94"/>
      <c r="J19" s="21"/>
    </row>
    <row r="20" spans="1:8" s="25" customFormat="1" ht="13.5">
      <c r="A20" s="94"/>
      <c r="B20" s="95" t="s">
        <v>172</v>
      </c>
      <c r="C20" s="94"/>
      <c r="D20" s="94"/>
      <c r="E20" s="94"/>
      <c r="F20" s="94"/>
      <c r="G20" s="94"/>
      <c r="H20" s="94"/>
    </row>
    <row r="21" spans="1:8" s="25" customFormat="1" ht="13.5">
      <c r="A21" s="94"/>
      <c r="B21" s="94"/>
      <c r="C21" s="94"/>
      <c r="D21" s="94"/>
      <c r="E21" s="94"/>
      <c r="F21" s="94"/>
      <c r="G21" s="94"/>
      <c r="H21" s="94"/>
    </row>
    <row r="22" spans="1:8" s="25" customFormat="1" ht="13.5">
      <c r="A22" s="94">
        <v>3</v>
      </c>
      <c r="B22" s="95" t="s">
        <v>59</v>
      </c>
      <c r="C22" s="96"/>
      <c r="D22" s="94"/>
      <c r="E22" s="94"/>
      <c r="F22" s="94"/>
      <c r="G22" s="94"/>
      <c r="H22" s="94"/>
    </row>
    <row r="23" spans="1:11" s="25" customFormat="1" ht="13.5">
      <c r="A23" s="94"/>
      <c r="B23" s="95" t="s">
        <v>60</v>
      </c>
      <c r="C23" s="94"/>
      <c r="D23" s="94"/>
      <c r="E23" s="94"/>
      <c r="F23" s="94"/>
      <c r="G23" s="94"/>
      <c r="H23" s="94"/>
      <c r="I23" s="52" t="s">
        <v>16</v>
      </c>
      <c r="J23" s="85">
        <v>38592</v>
      </c>
      <c r="K23" s="57">
        <v>361000</v>
      </c>
    </row>
    <row r="24" spans="1:11" s="25" customFormat="1" ht="13.5">
      <c r="A24" s="94"/>
      <c r="B24" s="95" t="s">
        <v>106</v>
      </c>
      <c r="C24" s="94"/>
      <c r="D24" s="94"/>
      <c r="E24" s="94"/>
      <c r="F24" s="94"/>
      <c r="G24" s="94"/>
      <c r="H24" s="94"/>
      <c r="I24" s="52" t="s">
        <v>17</v>
      </c>
      <c r="J24" s="85">
        <v>38572</v>
      </c>
      <c r="K24" s="57">
        <v>374000</v>
      </c>
    </row>
    <row r="25" spans="1:11" s="25" customFormat="1" ht="13.5">
      <c r="A25" s="94" t="s">
        <v>194</v>
      </c>
      <c r="B25" s="95" t="s">
        <v>173</v>
      </c>
      <c r="C25" s="94"/>
      <c r="D25" s="94"/>
      <c r="E25" s="94"/>
      <c r="F25" s="94"/>
      <c r="G25" s="94"/>
      <c r="H25" s="94"/>
      <c r="I25" s="52" t="s">
        <v>18</v>
      </c>
      <c r="J25" s="85">
        <v>38571</v>
      </c>
      <c r="K25" s="57">
        <v>374000</v>
      </c>
    </row>
    <row r="26" spans="1:11" s="25" customFormat="1" ht="13.5">
      <c r="A26" s="94"/>
      <c r="B26" s="95" t="s">
        <v>107</v>
      </c>
      <c r="C26" s="94"/>
      <c r="D26" s="94"/>
      <c r="E26" s="94"/>
      <c r="F26" s="94"/>
      <c r="G26" s="94"/>
      <c r="H26" s="94"/>
      <c r="I26" s="52" t="s">
        <v>19</v>
      </c>
      <c r="J26" s="85">
        <v>38588</v>
      </c>
      <c r="K26" s="57">
        <v>374000</v>
      </c>
    </row>
    <row r="27" spans="1:11" s="25" customFormat="1" ht="13.5">
      <c r="A27" s="94"/>
      <c r="B27" s="94"/>
      <c r="C27" s="94"/>
      <c r="D27" s="94"/>
      <c r="E27" s="94"/>
      <c r="F27" s="94"/>
      <c r="G27" s="94"/>
      <c r="H27" s="94"/>
      <c r="I27" s="52" t="s">
        <v>20</v>
      </c>
      <c r="J27" s="85">
        <v>38565</v>
      </c>
      <c r="K27" s="57">
        <v>582000</v>
      </c>
    </row>
    <row r="28" spans="1:11" s="25" customFormat="1" ht="13.5">
      <c r="A28" s="94"/>
      <c r="B28" s="94"/>
      <c r="C28" s="94"/>
      <c r="D28" s="94"/>
      <c r="E28" s="94"/>
      <c r="F28" s="94"/>
      <c r="G28" s="94"/>
      <c r="H28" s="94"/>
      <c r="I28" s="52"/>
      <c r="J28" s="56"/>
      <c r="K28" s="53"/>
    </row>
    <row r="29" spans="1:11" s="25" customFormat="1" ht="13.5">
      <c r="A29" s="94"/>
      <c r="B29" s="94"/>
      <c r="C29" s="94"/>
      <c r="D29" s="94"/>
      <c r="E29" s="94"/>
      <c r="F29" s="94"/>
      <c r="G29" s="94"/>
      <c r="H29" s="94"/>
      <c r="J29" s="25" t="s">
        <v>108</v>
      </c>
      <c r="K29" s="57">
        <f>AVERAGE(K23:K27)</f>
        <v>413000</v>
      </c>
    </row>
    <row r="30" spans="1:11" s="25" customFormat="1" ht="13.5">
      <c r="A30" s="94"/>
      <c r="B30" s="94"/>
      <c r="C30" s="94"/>
      <c r="D30" s="94"/>
      <c r="E30" s="94"/>
      <c r="F30" s="94"/>
      <c r="G30" s="94"/>
      <c r="H30" s="94"/>
      <c r="K30" s="24"/>
    </row>
    <row r="31" spans="1:11" s="25" customFormat="1" ht="13.5">
      <c r="A31" s="94"/>
      <c r="B31" s="94"/>
      <c r="C31" s="98"/>
      <c r="D31" s="98"/>
      <c r="E31" s="98"/>
      <c r="F31" s="94"/>
      <c r="G31" s="94"/>
      <c r="H31" s="94"/>
      <c r="J31" s="66" t="s">
        <v>165</v>
      </c>
      <c r="K31" s="57">
        <f>'F-1'!C26*10^6/31</f>
        <v>306096.77419354836</v>
      </c>
    </row>
    <row r="32" spans="1:11" s="25" customFormat="1" ht="13.5">
      <c r="A32" s="94">
        <v>4</v>
      </c>
      <c r="B32" s="98" t="s">
        <v>109</v>
      </c>
      <c r="C32" s="94"/>
      <c r="D32" s="94"/>
      <c r="E32" s="94"/>
      <c r="F32" s="94"/>
      <c r="G32" s="94"/>
      <c r="H32" s="94"/>
      <c r="J32" s="58" t="s">
        <v>102</v>
      </c>
      <c r="K32" s="57">
        <f>'F-1'!C33*10^6/365</f>
        <v>276169.8630136986</v>
      </c>
    </row>
    <row r="33" spans="1:8" s="25" customFormat="1" ht="13.5">
      <c r="A33" s="94"/>
      <c r="B33" s="94"/>
      <c r="C33" s="94"/>
      <c r="D33" s="94"/>
      <c r="E33" s="94"/>
      <c r="F33" s="94"/>
      <c r="G33" s="94"/>
      <c r="H33" s="94"/>
    </row>
    <row r="34" spans="1:11" s="25" customFormat="1" ht="13.5">
      <c r="A34" s="94">
        <v>5</v>
      </c>
      <c r="B34" s="95" t="s">
        <v>61</v>
      </c>
      <c r="C34" s="94"/>
      <c r="D34" s="94"/>
      <c r="E34" s="99" t="s">
        <v>161</v>
      </c>
      <c r="F34" s="94"/>
      <c r="G34" s="94"/>
      <c r="H34" s="94"/>
      <c r="K34" s="61" t="s">
        <v>196</v>
      </c>
    </row>
    <row r="35" spans="1:8" s="25" customFormat="1" ht="13.5">
      <c r="A35" s="94"/>
      <c r="B35" s="94"/>
      <c r="C35" s="94"/>
      <c r="D35" s="94"/>
      <c r="E35" s="94"/>
      <c r="F35" s="94"/>
      <c r="G35" s="94"/>
      <c r="H35" s="94"/>
    </row>
    <row r="36" spans="1:8" s="25" customFormat="1" ht="13.5">
      <c r="A36" s="94"/>
      <c r="B36" s="95" t="s">
        <v>110</v>
      </c>
      <c r="C36" s="94"/>
      <c r="D36" s="94"/>
      <c r="E36" s="94"/>
      <c r="F36" s="94"/>
      <c r="G36" s="94"/>
      <c r="H36" s="94"/>
    </row>
    <row r="37" spans="1:8" s="25" customFormat="1" ht="13.5">
      <c r="A37" s="94"/>
      <c r="B37" s="95" t="s">
        <v>111</v>
      </c>
      <c r="C37" s="94"/>
      <c r="D37" s="94"/>
      <c r="E37" s="94"/>
      <c r="F37" s="94"/>
      <c r="G37" s="94"/>
      <c r="H37" s="94"/>
    </row>
    <row r="38" spans="1:8" s="25" customFormat="1" ht="13.5">
      <c r="A38" s="94"/>
      <c r="B38" s="95" t="s">
        <v>186</v>
      </c>
      <c r="C38" s="94"/>
      <c r="D38" s="94"/>
      <c r="E38" s="94"/>
      <c r="F38" s="94"/>
      <c r="G38" s="94"/>
      <c r="H38" s="94"/>
    </row>
    <row r="39" spans="1:8" s="25" customFormat="1" ht="13.5">
      <c r="A39" s="94"/>
      <c r="B39" s="94"/>
      <c r="C39" s="94"/>
      <c r="D39" s="94"/>
      <c r="E39" s="94"/>
      <c r="F39" s="94"/>
      <c r="G39" s="94"/>
      <c r="H39" s="94"/>
    </row>
    <row r="40" spans="1:8" s="25" customFormat="1" ht="13.5">
      <c r="A40" s="94"/>
      <c r="B40" s="95" t="s">
        <v>197</v>
      </c>
      <c r="C40" s="94"/>
      <c r="D40" s="94"/>
      <c r="E40" s="94"/>
      <c r="F40" s="94"/>
      <c r="G40" s="94"/>
      <c r="H40" s="94"/>
    </row>
    <row r="41" spans="1:8" s="25" customFormat="1" ht="13.5">
      <c r="A41" s="94"/>
      <c r="B41" s="95" t="s">
        <v>198</v>
      </c>
      <c r="C41" s="94"/>
      <c r="D41" s="94"/>
      <c r="E41" s="94"/>
      <c r="F41" s="94"/>
      <c r="G41" s="94"/>
      <c r="H41" s="94"/>
    </row>
    <row r="42" spans="1:10" s="25" customFormat="1" ht="13.5">
      <c r="A42" s="94"/>
      <c r="B42" s="95" t="s">
        <v>199</v>
      </c>
      <c r="C42" s="94"/>
      <c r="D42" s="94"/>
      <c r="E42" s="94"/>
      <c r="F42" s="94"/>
      <c r="G42" s="94"/>
      <c r="H42" s="94"/>
      <c r="J42" s="26"/>
    </row>
    <row r="43" s="25" customFormat="1" ht="12.75">
      <c r="J43" s="26"/>
    </row>
    <row r="44" s="25" customFormat="1" ht="12.75">
      <c r="J44" s="26"/>
    </row>
    <row r="45" s="25" customFormat="1" ht="12.75">
      <c r="J45" s="26"/>
    </row>
    <row r="46" s="25" customFormat="1" ht="12.75">
      <c r="J46" s="26"/>
    </row>
    <row r="47" s="25" customFormat="1" ht="12.75">
      <c r="J47" s="26"/>
    </row>
    <row r="48" s="25" customFormat="1" ht="12.75">
      <c r="J48" s="26"/>
    </row>
    <row r="49" spans="6:10" s="25" customFormat="1" ht="24">
      <c r="F49" s="82"/>
      <c r="J49" s="26"/>
    </row>
    <row r="50" s="25" customFormat="1" ht="12.75">
      <c r="J50" s="26"/>
    </row>
    <row r="51" s="25" customFormat="1" ht="12.75">
      <c r="J51" s="26"/>
    </row>
    <row r="52" s="25" customFormat="1" ht="12.75">
      <c r="J52" s="26"/>
    </row>
    <row r="53" s="25" customFormat="1" ht="12.75">
      <c r="J53" s="26"/>
    </row>
    <row r="54" s="25" customFormat="1" ht="12.75">
      <c r="J54" s="26"/>
    </row>
    <row r="55" spans="1:11" ht="18.7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3" ht="18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28"/>
      <c r="M56" s="28"/>
    </row>
  </sheetData>
  <printOptions/>
  <pageMargins left="0.75" right="0.5" top="1" bottom="1" header="0.5" footer="0.5"/>
  <pageSetup fitToHeight="1" fitToWidth="1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25">
      <selection activeCell="F26" sqref="F26"/>
    </sheetView>
  </sheetViews>
  <sheetFormatPr defaultColWidth="9.00390625" defaultRowHeight="12.75"/>
  <cols>
    <col min="1" max="5" width="8.75390625" style="2" customWidth="1"/>
    <col min="6" max="6" width="9.375" style="2" customWidth="1"/>
    <col min="7" max="8" width="8.75390625" style="2" customWidth="1"/>
    <col min="9" max="9" width="6.75390625" style="2" customWidth="1"/>
    <col min="10" max="11" width="10.75390625" style="2" customWidth="1"/>
    <col min="12" max="12" width="11.25390625" style="31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0" ht="12.75">
      <c r="A1" s="86" t="s">
        <v>62</v>
      </c>
      <c r="B1" s="87"/>
      <c r="C1" s="87"/>
      <c r="D1" s="87"/>
      <c r="E1" s="87"/>
      <c r="F1" s="87"/>
      <c r="G1" s="87"/>
      <c r="H1" s="87"/>
      <c r="I1" s="87"/>
      <c r="J1" s="86" t="s">
        <v>7</v>
      </c>
    </row>
    <row r="2" spans="1:10" ht="12.7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2.75">
      <c r="A3" s="86" t="str">
        <f>'F-1'!A4</f>
        <v>Company:  Utilities, Inc. of Florida (602-Weathersfield)</v>
      </c>
      <c r="B3" s="87"/>
      <c r="C3" s="87"/>
      <c r="D3" s="87"/>
      <c r="E3" s="87"/>
      <c r="F3" s="87"/>
      <c r="G3" s="87"/>
      <c r="H3" s="87"/>
      <c r="I3" s="87"/>
      <c r="J3" s="86" t="s">
        <v>63</v>
      </c>
    </row>
    <row r="4" spans="1:10" ht="12.75">
      <c r="A4" s="86" t="str">
        <f>'F-1'!A5</f>
        <v>Docket No.:  060253-WS</v>
      </c>
      <c r="B4" s="87"/>
      <c r="C4" s="87"/>
      <c r="D4" s="87"/>
      <c r="E4" s="87"/>
      <c r="F4" s="87"/>
      <c r="G4" s="87"/>
      <c r="H4" s="87"/>
      <c r="I4" s="87"/>
      <c r="J4" s="86" t="s">
        <v>10</v>
      </c>
    </row>
    <row r="5" spans="1:10" ht="12.75">
      <c r="A5" s="86" t="str">
        <f>'F-1'!A6</f>
        <v>Test Year Ended:  December 31, 2005</v>
      </c>
      <c r="B5" s="87"/>
      <c r="C5" s="88"/>
      <c r="D5" s="87"/>
      <c r="E5" s="87"/>
      <c r="F5" s="87"/>
      <c r="G5" s="87"/>
      <c r="H5" s="87"/>
      <c r="I5" s="87"/>
      <c r="J5" s="86" t="str">
        <f>'F-1'!J5</f>
        <v>Preparer:  Seidman, F.</v>
      </c>
    </row>
    <row r="6" spans="1:10" ht="12.75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ht="12.75">
      <c r="A7" s="86" t="s">
        <v>64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12.75">
      <c r="A8" s="86" t="s">
        <v>174</v>
      </c>
      <c r="B8" s="87"/>
      <c r="C8" s="87"/>
      <c r="D8" s="87"/>
      <c r="E8" s="87"/>
      <c r="F8" s="87"/>
      <c r="G8" s="87"/>
      <c r="H8" s="87"/>
      <c r="I8" s="87"/>
      <c r="J8" s="87"/>
    </row>
    <row r="9" spans="1:13" ht="12">
      <c r="A9" s="4" t="s">
        <v>15</v>
      </c>
      <c r="B9" s="4" t="s">
        <v>15</v>
      </c>
      <c r="C9" s="4" t="s">
        <v>15</v>
      </c>
      <c r="D9" s="4" t="s">
        <v>15</v>
      </c>
      <c r="E9" s="4" t="s">
        <v>15</v>
      </c>
      <c r="F9" s="4" t="s">
        <v>15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15</v>
      </c>
      <c r="L9" s="32" t="s">
        <v>15</v>
      </c>
      <c r="M9" s="4" t="s">
        <v>15</v>
      </c>
    </row>
    <row r="10" spans="10:12" ht="12">
      <c r="J10" s="5" t="s">
        <v>65</v>
      </c>
      <c r="L10" s="33" t="s">
        <v>54</v>
      </c>
    </row>
    <row r="11" spans="5:12" ht="12">
      <c r="E11" s="65" t="s">
        <v>162</v>
      </c>
      <c r="J11" s="4" t="s">
        <v>15</v>
      </c>
      <c r="L11" s="32" t="s">
        <v>15</v>
      </c>
    </row>
    <row r="12" ht="12">
      <c r="C12" s="65" t="s">
        <v>163</v>
      </c>
    </row>
    <row r="13" spans="1:12" ht="12">
      <c r="A13" s="5" t="s">
        <v>66</v>
      </c>
      <c r="B13" s="1" t="s">
        <v>55</v>
      </c>
      <c r="J13" s="34"/>
      <c r="L13" s="35"/>
    </row>
    <row r="15" spans="2:10" ht="12">
      <c r="B15" s="1" t="s">
        <v>67</v>
      </c>
      <c r="J15" s="12"/>
    </row>
    <row r="16" spans="2:10" ht="12">
      <c r="B16" s="1" t="s">
        <v>170</v>
      </c>
      <c r="J16" s="12"/>
    </row>
    <row r="17" ht="12">
      <c r="J17" s="12"/>
    </row>
    <row r="18" ht="12">
      <c r="J18" s="12"/>
    </row>
    <row r="20" spans="1:12" ht="12">
      <c r="A20" s="5" t="s">
        <v>68</v>
      </c>
      <c r="B20" s="1" t="s">
        <v>69</v>
      </c>
      <c r="J20" s="36"/>
      <c r="L20" s="35"/>
    </row>
    <row r="22" ht="12">
      <c r="B22" s="1" t="s">
        <v>70</v>
      </c>
    </row>
    <row r="23" ht="12">
      <c r="B23" s="1" t="s">
        <v>71</v>
      </c>
    </row>
    <row r="24" ht="12">
      <c r="B24" s="1" t="s">
        <v>72</v>
      </c>
    </row>
    <row r="25" ht="12">
      <c r="B25" s="1" t="s">
        <v>73</v>
      </c>
    </row>
    <row r="49" ht="24">
      <c r="F49" s="83"/>
    </row>
    <row r="53" spans="1:13" ht="18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9"/>
      <c r="M53" s="38"/>
    </row>
    <row r="61" ht="12">
      <c r="F61" s="9"/>
    </row>
  </sheetData>
  <printOptions/>
  <pageMargins left="0.75" right="0.45" top="1" bottom="1" header="0.5" footer="0.5"/>
  <pageSetup fitToHeight="1" fitToWidth="1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showGridLines="0" tabSelected="1" workbookViewId="0" topLeftCell="A39">
      <selection activeCell="B57" sqref="B57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6" width="9.125" style="2" customWidth="1"/>
    <col min="7" max="7" width="9.75390625" style="2" customWidth="1"/>
    <col min="8" max="8" width="10.875" style="2" customWidth="1"/>
    <col min="9" max="9" width="10.625" style="2" customWidth="1"/>
    <col min="10" max="10" width="9.125" style="2" customWidth="1"/>
    <col min="11" max="11" width="11.75390625" style="2" customWidth="1"/>
    <col min="12" max="195" width="8.75390625" style="2" customWidth="1"/>
    <col min="196" max="16384" width="10.75390625" style="2" customWidth="1"/>
  </cols>
  <sheetData>
    <row r="1" spans="1:9" ht="12.75">
      <c r="A1" s="86" t="s">
        <v>74</v>
      </c>
      <c r="B1" s="87"/>
      <c r="C1" s="87"/>
      <c r="D1" s="87"/>
      <c r="E1" s="87"/>
      <c r="F1" s="87"/>
      <c r="G1" s="87"/>
      <c r="H1" s="87"/>
      <c r="I1" s="86" t="s">
        <v>7</v>
      </c>
    </row>
    <row r="2" spans="1:9" ht="12.75">
      <c r="A2" s="86" t="s">
        <v>75</v>
      </c>
      <c r="B2" s="87"/>
      <c r="C2" s="87"/>
      <c r="D2" s="87"/>
      <c r="E2" s="87"/>
      <c r="F2" s="87"/>
      <c r="G2" s="87"/>
      <c r="H2" s="87"/>
      <c r="I2" s="87"/>
    </row>
    <row r="3" spans="1:9" ht="12.75">
      <c r="A3" s="87"/>
      <c r="B3" s="87"/>
      <c r="C3" s="87"/>
      <c r="D3" s="87"/>
      <c r="E3" s="87"/>
      <c r="F3" s="87"/>
      <c r="G3" s="87"/>
      <c r="H3" s="87"/>
      <c r="I3" s="87"/>
    </row>
    <row r="4" spans="1:9" ht="12.75">
      <c r="A4" s="86" t="str">
        <f>'F-1'!A4</f>
        <v>Company:  Utilities, Inc. of Florida (602-Weathersfield)</v>
      </c>
      <c r="B4" s="87"/>
      <c r="C4" s="87"/>
      <c r="D4" s="87"/>
      <c r="E4" s="87"/>
      <c r="F4" s="87"/>
      <c r="G4" s="87"/>
      <c r="H4" s="87"/>
      <c r="I4" s="86" t="s">
        <v>76</v>
      </c>
    </row>
    <row r="5" spans="1:9" ht="12.75">
      <c r="A5" s="86" t="str">
        <f>'F-1'!A5</f>
        <v>Docket No.:  060253-WS</v>
      </c>
      <c r="B5" s="87"/>
      <c r="C5" s="87"/>
      <c r="D5" s="87"/>
      <c r="E5" s="87"/>
      <c r="F5" s="87"/>
      <c r="G5" s="87"/>
      <c r="H5" s="87"/>
      <c r="I5" s="86" t="s">
        <v>10</v>
      </c>
    </row>
    <row r="6" spans="1:9" ht="12.75">
      <c r="A6" s="86" t="str">
        <f>'F-1'!A6</f>
        <v>Test Year Ended:  December 31, 2005</v>
      </c>
      <c r="B6" s="87"/>
      <c r="C6" s="87"/>
      <c r="D6" s="87"/>
      <c r="E6" s="87"/>
      <c r="F6" s="87"/>
      <c r="G6" s="87"/>
      <c r="H6" s="87"/>
      <c r="I6" s="86" t="str">
        <f>'F-1'!J5</f>
        <v>Preparer:  Seidman, F.</v>
      </c>
    </row>
    <row r="7" spans="1:9" ht="12.75">
      <c r="A7" s="87"/>
      <c r="B7" s="87"/>
      <c r="C7" s="87"/>
      <c r="D7" s="87"/>
      <c r="E7" s="87"/>
      <c r="F7" s="87"/>
      <c r="G7" s="87"/>
      <c r="H7" s="87"/>
      <c r="I7" s="87"/>
    </row>
    <row r="8" spans="1:9" ht="12.75">
      <c r="A8" s="86" t="s">
        <v>77</v>
      </c>
      <c r="B8" s="87"/>
      <c r="C8" s="87"/>
      <c r="D8" s="87"/>
      <c r="E8" s="87"/>
      <c r="F8" s="87"/>
      <c r="G8" s="87"/>
      <c r="H8" s="87"/>
      <c r="I8" s="87"/>
    </row>
    <row r="9" spans="1:9" ht="12.75">
      <c r="A9" s="86" t="s">
        <v>78</v>
      </c>
      <c r="B9" s="87"/>
      <c r="C9" s="87"/>
      <c r="D9" s="87"/>
      <c r="E9" s="87"/>
      <c r="F9" s="87"/>
      <c r="G9" s="87"/>
      <c r="H9" s="87"/>
      <c r="I9" s="87"/>
    </row>
    <row r="10" spans="1:9" ht="12.75">
      <c r="A10" s="86" t="s">
        <v>79</v>
      </c>
      <c r="B10" s="87"/>
      <c r="C10" s="87"/>
      <c r="D10" s="87"/>
      <c r="E10" s="87"/>
      <c r="F10" s="87"/>
      <c r="G10" s="87"/>
      <c r="H10" s="87"/>
      <c r="I10" s="87"/>
    </row>
    <row r="11" spans="1:1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3" spans="1:10" ht="12.75">
      <c r="A13" s="1" t="s">
        <v>112</v>
      </c>
      <c r="J13"/>
    </row>
    <row r="14" spans="1:10" s="43" customFormat="1" ht="12.75">
      <c r="A14" s="41"/>
      <c r="B14" s="42"/>
      <c r="J14"/>
    </row>
    <row r="15" spans="1:10" s="43" customFormat="1" ht="12.75">
      <c r="A15" s="41"/>
      <c r="J15"/>
    </row>
    <row r="16" spans="1:10" s="43" customFormat="1" ht="12.75">
      <c r="A16" s="41"/>
      <c r="B16" s="43" t="s">
        <v>129</v>
      </c>
      <c r="J16"/>
    </row>
    <row r="17" spans="1:10" s="43" customFormat="1" ht="12.75">
      <c r="A17" s="41"/>
      <c r="E17" s="44"/>
      <c r="J17"/>
    </row>
    <row r="18" spans="1:10" s="43" customFormat="1" ht="12.75">
      <c r="A18" s="41"/>
      <c r="B18" s="43" t="s">
        <v>130</v>
      </c>
      <c r="E18" s="44"/>
      <c r="I18" s="63">
        <f>550+1000</f>
        <v>1550</v>
      </c>
      <c r="J18" t="s">
        <v>152</v>
      </c>
    </row>
    <row r="19" spans="1:10" s="43" customFormat="1" ht="12.75">
      <c r="A19" s="41"/>
      <c r="B19" s="43" t="s">
        <v>131</v>
      </c>
      <c r="E19" s="44"/>
      <c r="I19" s="63">
        <v>550</v>
      </c>
      <c r="J19" s="60" t="s">
        <v>152</v>
      </c>
    </row>
    <row r="20" spans="1:10" s="43" customFormat="1" ht="12.75">
      <c r="A20" s="41"/>
      <c r="I20" s="63"/>
      <c r="J20"/>
    </row>
    <row r="21" spans="1:10" s="43" customFormat="1" ht="12.75">
      <c r="A21" s="41"/>
      <c r="B21" s="43" t="s">
        <v>132</v>
      </c>
      <c r="I21" s="63">
        <v>100000</v>
      </c>
      <c r="J21" s="59" t="s">
        <v>153</v>
      </c>
    </row>
    <row r="22" spans="1:10" s="43" customFormat="1" ht="12.75">
      <c r="A22" s="41"/>
      <c r="B22" s="43" t="s">
        <v>133</v>
      </c>
      <c r="I22" s="63">
        <f>0.9*I21</f>
        <v>90000</v>
      </c>
      <c r="J22" s="59" t="s">
        <v>153</v>
      </c>
    </row>
    <row r="23" spans="1:10" s="43" customFormat="1" ht="12.75">
      <c r="A23" s="41"/>
      <c r="B23" s="43" t="s">
        <v>134</v>
      </c>
      <c r="I23" s="63">
        <v>10000</v>
      </c>
      <c r="J23" s="59" t="s">
        <v>153</v>
      </c>
    </row>
    <row r="24" spans="1:10" s="43" customFormat="1" ht="12.75">
      <c r="A24" s="41"/>
      <c r="B24" s="43" t="s">
        <v>135</v>
      </c>
      <c r="I24" s="63">
        <f>+I23/3</f>
        <v>3333.3333333333335</v>
      </c>
      <c r="J24" s="59" t="s">
        <v>153</v>
      </c>
    </row>
    <row r="25" spans="1:10" s="43" customFormat="1" ht="12.75">
      <c r="A25" s="41"/>
      <c r="B25" s="43" t="s">
        <v>136</v>
      </c>
      <c r="I25" s="63">
        <f>+I22+I24</f>
        <v>93333.33333333333</v>
      </c>
      <c r="J25" s="59" t="s">
        <v>153</v>
      </c>
    </row>
    <row r="26" spans="1:10" s="43" customFormat="1" ht="12.75">
      <c r="A26" s="41"/>
      <c r="I26" s="63"/>
      <c r="J26"/>
    </row>
    <row r="27" spans="1:10" s="43" customFormat="1" ht="12.75">
      <c r="A27" s="41"/>
      <c r="B27" s="43" t="s">
        <v>137</v>
      </c>
      <c r="I27" s="63">
        <f>500+700</f>
        <v>1200</v>
      </c>
      <c r="J27" t="s">
        <v>152</v>
      </c>
    </row>
    <row r="28" spans="1:10" s="43" customFormat="1" ht="12.75">
      <c r="A28" s="41"/>
      <c r="I28" s="64"/>
      <c r="J28"/>
    </row>
    <row r="29" spans="1:10" s="43" customFormat="1" ht="12.75">
      <c r="A29" s="41"/>
      <c r="B29" s="43" t="s">
        <v>164</v>
      </c>
      <c r="I29" s="63">
        <f>'F-3'!K31</f>
        <v>306096.77419354836</v>
      </c>
      <c r="J29" t="s">
        <v>154</v>
      </c>
    </row>
    <row r="30" spans="1:10" s="43" customFormat="1" ht="12.75">
      <c r="A30" s="41"/>
      <c r="B30" s="43" t="s">
        <v>138</v>
      </c>
      <c r="I30" s="63">
        <f>'F-3'!K18</f>
        <v>582000</v>
      </c>
      <c r="J30" t="s">
        <v>154</v>
      </c>
    </row>
    <row r="31" spans="1:10" s="43" customFormat="1" ht="12.75">
      <c r="A31" s="41"/>
      <c r="B31" s="43" t="s">
        <v>139</v>
      </c>
      <c r="G31" s="63"/>
      <c r="I31" s="63">
        <f>2*I30</f>
        <v>1164000</v>
      </c>
      <c r="J31" t="s">
        <v>154</v>
      </c>
    </row>
    <row r="32" spans="1:10" s="43" customFormat="1" ht="12.75">
      <c r="A32" s="41"/>
      <c r="I32" s="63"/>
      <c r="J32"/>
    </row>
    <row r="33" spans="1:10" s="43" customFormat="1" ht="12.75">
      <c r="A33" s="41"/>
      <c r="I33" s="63"/>
      <c r="J33"/>
    </row>
    <row r="34" spans="1:10" s="43" customFormat="1" ht="12.75">
      <c r="A34" s="41"/>
      <c r="B34" s="43" t="s">
        <v>140</v>
      </c>
      <c r="E34" s="43" t="s">
        <v>195</v>
      </c>
      <c r="I34" s="63">
        <f>1250*60*2</f>
        <v>150000</v>
      </c>
      <c r="J34" t="s">
        <v>154</v>
      </c>
    </row>
    <row r="35" spans="1:10" s="43" customFormat="1" ht="12.75">
      <c r="A35" s="41"/>
      <c r="I35" s="63"/>
      <c r="J35"/>
    </row>
    <row r="36" spans="1:10" s="43" customFormat="1" ht="12.75">
      <c r="A36" s="41"/>
      <c r="B36" s="43" t="s">
        <v>155</v>
      </c>
      <c r="E36" s="44">
        <f>'F-1'!M33</f>
        <v>0.08535544929664081</v>
      </c>
      <c r="F36" s="43" t="s">
        <v>156</v>
      </c>
      <c r="I36" s="63">
        <f>'F-1'!K33/365*10^6</f>
        <v>23572.60273972603</v>
      </c>
      <c r="J36" t="s">
        <v>157</v>
      </c>
    </row>
    <row r="37" spans="1:10" s="43" customFormat="1" ht="12.75">
      <c r="A37" s="41"/>
      <c r="B37" s="43" t="s">
        <v>158</v>
      </c>
      <c r="E37" s="44">
        <v>0.125</v>
      </c>
      <c r="I37" s="63">
        <f>('F-1'!C33/365*10^6)*0.125</f>
        <v>34521.232876712325</v>
      </c>
      <c r="J37" t="s">
        <v>157</v>
      </c>
    </row>
    <row r="38" spans="1:10" s="43" customFormat="1" ht="12.75">
      <c r="A38" s="41"/>
      <c r="B38" s="43" t="s">
        <v>159</v>
      </c>
      <c r="I38" s="63">
        <f>IF(I36&lt;I37,0,I36-I37)</f>
        <v>0</v>
      </c>
      <c r="J38" t="s">
        <v>157</v>
      </c>
    </row>
    <row r="39" spans="1:10" s="43" customFormat="1" ht="12.75">
      <c r="A39" s="41"/>
      <c r="J39"/>
    </row>
    <row r="40" spans="1:10" s="43" customFormat="1" ht="12.75">
      <c r="A40" s="41"/>
      <c r="B40" s="68" t="s">
        <v>175</v>
      </c>
      <c r="C40" s="68"/>
      <c r="D40" s="68"/>
      <c r="J40"/>
    </row>
    <row r="41" spans="1:10" s="43" customFormat="1" ht="12.75">
      <c r="A41" s="41"/>
      <c r="B41" s="43" t="s">
        <v>201</v>
      </c>
      <c r="J41"/>
    </row>
    <row r="42" spans="1:10" s="43" customFormat="1" ht="12.75">
      <c r="A42" s="41"/>
      <c r="B42" s="43" t="s">
        <v>176</v>
      </c>
      <c r="J42"/>
    </row>
    <row r="43" spans="1:10" s="43" customFormat="1" ht="12.75">
      <c r="A43" s="41"/>
      <c r="B43" s="43" t="s">
        <v>177</v>
      </c>
      <c r="J43"/>
    </row>
    <row r="44" spans="1:10" s="43" customFormat="1" ht="12.75">
      <c r="A44" s="41"/>
      <c r="B44" s="43" t="s">
        <v>203</v>
      </c>
      <c r="J44"/>
    </row>
    <row r="45" spans="1:10" s="43" customFormat="1" ht="12.75">
      <c r="A45" s="41"/>
      <c r="B45" s="43" t="s">
        <v>202</v>
      </c>
      <c r="J45"/>
    </row>
    <row r="46" spans="1:10" s="43" customFormat="1" ht="12.75">
      <c r="A46" s="41"/>
      <c r="J46"/>
    </row>
    <row r="47" spans="1:10" s="43" customFormat="1" ht="12.75">
      <c r="A47" s="41"/>
      <c r="J47"/>
    </row>
    <row r="48" spans="1:10" s="43" customFormat="1" ht="12.75">
      <c r="A48" s="41"/>
      <c r="B48" s="43" t="s">
        <v>204</v>
      </c>
      <c r="J48"/>
    </row>
    <row r="49" spans="1:10" s="43" customFormat="1" ht="12.75">
      <c r="A49" s="41"/>
      <c r="B49" s="43" t="s">
        <v>205</v>
      </c>
      <c r="J49"/>
    </row>
    <row r="50" spans="1:10" s="43" customFormat="1" ht="12.75">
      <c r="A50" s="41"/>
      <c r="B50" s="43" t="s">
        <v>206</v>
      </c>
      <c r="J50"/>
    </row>
    <row r="51" spans="1:10" s="43" customFormat="1" ht="12.75">
      <c r="A51" s="41"/>
      <c r="B51" s="43" t="s">
        <v>207</v>
      </c>
      <c r="J51"/>
    </row>
    <row r="52" spans="1:10" s="43" customFormat="1" ht="12.75">
      <c r="A52" s="41"/>
      <c r="B52" s="43" t="s">
        <v>208</v>
      </c>
      <c r="J52"/>
    </row>
    <row r="53" spans="1:10" s="43" customFormat="1" ht="12.75">
      <c r="A53" s="41"/>
      <c r="B53" s="43" t="s">
        <v>209</v>
      </c>
      <c r="J53"/>
    </row>
    <row r="54" spans="1:10" s="43" customFormat="1" ht="12.75">
      <c r="A54" s="41"/>
      <c r="B54" s="43" t="s">
        <v>210</v>
      </c>
      <c r="J54"/>
    </row>
    <row r="55" spans="1:10" s="43" customFormat="1" ht="12.75">
      <c r="A55" s="41"/>
      <c r="B55" s="43" t="s">
        <v>211</v>
      </c>
      <c r="J55"/>
    </row>
    <row r="56" spans="1:10" s="43" customFormat="1" ht="12.75">
      <c r="A56" s="41"/>
      <c r="B56" s="43" t="s">
        <v>219</v>
      </c>
      <c r="J56"/>
    </row>
    <row r="57" spans="1:10" s="43" customFormat="1" ht="12.75">
      <c r="A57" s="41"/>
      <c r="J57"/>
    </row>
    <row r="58" spans="1:10" s="43" customFormat="1" ht="12.75">
      <c r="A58" s="41"/>
      <c r="B58" s="43" t="s">
        <v>141</v>
      </c>
      <c r="I58" s="44">
        <f>IF((I60+I61+I62-I63)/I64&gt;1,1,(I60+I61+I62-I63)/I64)</f>
        <v>0.9242424242424242</v>
      </c>
      <c r="J58" t="s">
        <v>179</v>
      </c>
    </row>
    <row r="59" spans="1:10" s="43" customFormat="1" ht="12.75">
      <c r="A59" s="41"/>
      <c r="J59"/>
    </row>
    <row r="60" spans="1:10" s="43" customFormat="1" ht="12.75">
      <c r="A60" s="41"/>
      <c r="B60" s="43" t="s">
        <v>142</v>
      </c>
      <c r="C60" s="43" t="s">
        <v>147</v>
      </c>
      <c r="I60" s="63">
        <f>+I30</f>
        <v>582000</v>
      </c>
      <c r="J60" t="s">
        <v>154</v>
      </c>
    </row>
    <row r="61" spans="1:10" s="43" customFormat="1" ht="12.75">
      <c r="A61" s="41"/>
      <c r="B61" s="43" t="s">
        <v>143</v>
      </c>
      <c r="C61" s="43" t="s">
        <v>151</v>
      </c>
      <c r="I61" s="43">
        <v>0</v>
      </c>
      <c r="J61"/>
    </row>
    <row r="62" spans="1:10" s="43" customFormat="1" ht="12.75">
      <c r="A62" s="41"/>
      <c r="B62" s="43" t="s">
        <v>144</v>
      </c>
      <c r="C62" s="43" t="s">
        <v>150</v>
      </c>
      <c r="I62" s="63">
        <f>+I34</f>
        <v>150000</v>
      </c>
      <c r="J62"/>
    </row>
    <row r="63" spans="1:10" s="43" customFormat="1" ht="12.75">
      <c r="A63" s="41"/>
      <c r="B63" s="43" t="s">
        <v>145</v>
      </c>
      <c r="C63" s="43" t="s">
        <v>149</v>
      </c>
      <c r="I63" s="63">
        <f>+I38</f>
        <v>0</v>
      </c>
      <c r="J63"/>
    </row>
    <row r="64" spans="1:10" s="43" customFormat="1" ht="12.75">
      <c r="A64" s="41"/>
      <c r="B64" s="43" t="s">
        <v>146</v>
      </c>
      <c r="C64" s="43" t="s">
        <v>148</v>
      </c>
      <c r="I64" s="63">
        <f>+I19*1440</f>
        <v>792000</v>
      </c>
      <c r="J64"/>
    </row>
    <row r="65" spans="1:10" s="43" customFormat="1" ht="12.75">
      <c r="A65" s="41"/>
      <c r="J65"/>
    </row>
    <row r="66" spans="1:10" s="43" customFormat="1" ht="12.75">
      <c r="A66" s="41"/>
      <c r="B66" s="43" t="s">
        <v>166</v>
      </c>
      <c r="J66"/>
    </row>
    <row r="67" spans="1:10" s="43" customFormat="1" ht="12.75">
      <c r="A67" s="41"/>
      <c r="B67" s="43" t="s">
        <v>178</v>
      </c>
      <c r="J67"/>
    </row>
    <row r="68" spans="1:10" s="43" customFormat="1" ht="12.75">
      <c r="A68" s="41"/>
      <c r="J68"/>
    </row>
    <row r="69" spans="1:10" s="43" customFormat="1" ht="12.75">
      <c r="A69" s="41"/>
      <c r="J69"/>
    </row>
    <row r="70" spans="1:10" s="43" customFormat="1" ht="12.75">
      <c r="A70" s="41"/>
      <c r="J70"/>
    </row>
    <row r="71" spans="1:10" s="43" customFormat="1" ht="24">
      <c r="A71" s="41"/>
      <c r="G71" s="83"/>
      <c r="J71"/>
    </row>
    <row r="72" s="43" customFormat="1" ht="12.75">
      <c r="A72" s="41"/>
    </row>
    <row r="73" s="43" customFormat="1" ht="12.75"/>
    <row r="74" spans="5:6" ht="12.75" hidden="1">
      <c r="E74" s="9"/>
      <c r="F74"/>
    </row>
    <row r="75" ht="12" hidden="1">
      <c r="E75" s="9"/>
    </row>
    <row r="114" ht="12">
      <c r="F114" s="9">
        <v>68</v>
      </c>
    </row>
  </sheetData>
  <printOptions/>
  <pageMargins left="0.75" right="0.5" top="1" bottom="1" header="0.5" footer="0.5"/>
  <pageSetup fitToHeight="1" fitToWidth="1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1">
      <selection activeCell="F3" sqref="F3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7" ht="12.75">
      <c r="A1" s="86" t="s">
        <v>74</v>
      </c>
      <c r="B1" s="87"/>
      <c r="C1" s="87"/>
      <c r="D1" s="87"/>
      <c r="E1" s="87"/>
      <c r="F1" s="87"/>
      <c r="G1" s="86" t="s">
        <v>113</v>
      </c>
    </row>
    <row r="2" spans="1:7" ht="12.75">
      <c r="A2" s="86" t="s">
        <v>114</v>
      </c>
      <c r="B2" s="87"/>
      <c r="C2" s="87"/>
      <c r="D2" s="87"/>
      <c r="E2" s="87"/>
      <c r="F2" s="87"/>
      <c r="G2" s="87"/>
    </row>
    <row r="3" spans="1:7" ht="12.75">
      <c r="A3" s="87"/>
      <c r="B3" s="87"/>
      <c r="C3" s="87"/>
      <c r="D3" s="87"/>
      <c r="E3" s="87"/>
      <c r="F3" s="87"/>
      <c r="G3" s="87"/>
    </row>
    <row r="4" spans="1:7" ht="12.75">
      <c r="A4" s="86" t="str">
        <f>'F-1'!A4</f>
        <v>Company:  Utilities, Inc. of Florida (602-Weathersfield)</v>
      </c>
      <c r="B4" s="87"/>
      <c r="C4" s="87"/>
      <c r="D4" s="87"/>
      <c r="E4" s="87"/>
      <c r="F4" s="87"/>
      <c r="G4" s="86" t="s">
        <v>115</v>
      </c>
    </row>
    <row r="5" spans="1:7" ht="12.75">
      <c r="A5" s="86" t="str">
        <f>'F-1'!A5</f>
        <v>Docket No.:  060253-WS</v>
      </c>
      <c r="B5" s="87"/>
      <c r="C5" s="87"/>
      <c r="D5" s="87"/>
      <c r="E5" s="87"/>
      <c r="F5" s="87"/>
      <c r="G5" s="86" t="s">
        <v>10</v>
      </c>
    </row>
    <row r="6" spans="1:7" ht="12.75">
      <c r="A6" s="86" t="str">
        <f>'F-1'!A6</f>
        <v>Test Year Ended:  December 31, 2005</v>
      </c>
      <c r="B6" s="86"/>
      <c r="C6" s="88"/>
      <c r="D6" s="91"/>
      <c r="E6" s="87"/>
      <c r="F6" s="87"/>
      <c r="G6" s="86" t="str">
        <f>'F-1'!J5</f>
        <v>Preparer:  Seidman, F.</v>
      </c>
    </row>
    <row r="7" spans="1:7" ht="12.75">
      <c r="A7" s="87"/>
      <c r="B7" s="87"/>
      <c r="C7" s="87"/>
      <c r="D7" s="87"/>
      <c r="E7" s="87"/>
      <c r="F7" s="87"/>
      <c r="G7" s="87"/>
    </row>
    <row r="8" spans="1:7" ht="12.75">
      <c r="A8" s="86" t="s">
        <v>77</v>
      </c>
      <c r="B8" s="87"/>
      <c r="C8" s="87"/>
      <c r="D8" s="87"/>
      <c r="E8" s="87"/>
      <c r="F8" s="87"/>
      <c r="G8" s="87"/>
    </row>
    <row r="9" spans="1:7" ht="12.75">
      <c r="A9" s="86" t="s">
        <v>116</v>
      </c>
      <c r="B9" s="87"/>
      <c r="C9" s="87"/>
      <c r="D9" s="87"/>
      <c r="E9" s="87"/>
      <c r="F9" s="87"/>
      <c r="G9" s="87"/>
    </row>
    <row r="10" spans="1:7" ht="12.75">
      <c r="A10" s="86" t="s">
        <v>117</v>
      </c>
      <c r="B10" s="87"/>
      <c r="C10" s="87"/>
      <c r="D10" s="87"/>
      <c r="E10" s="87"/>
      <c r="F10" s="87"/>
      <c r="G10" s="87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ht="12">
      <c r="D12" s="45"/>
    </row>
    <row r="13" spans="1:9" ht="12.75">
      <c r="A13" s="1" t="s">
        <v>118</v>
      </c>
      <c r="G13"/>
      <c r="I13"/>
    </row>
    <row r="14" spans="1:9" ht="12">
      <c r="A14" s="1"/>
      <c r="I14" s="4"/>
    </row>
    <row r="15" ht="12.75"/>
    <row r="16" ht="12.75"/>
    <row r="17" ht="12.75"/>
    <row r="18" ht="12.75"/>
    <row r="19" ht="12.75">
      <c r="E19" s="42" t="s">
        <v>163</v>
      </c>
    </row>
    <row r="20" ht="12.75">
      <c r="E20" t="s">
        <v>180</v>
      </c>
    </row>
    <row r="21" ht="12.75"/>
    <row r="22" ht="12.75"/>
    <row r="23" ht="12.75"/>
    <row r="24" ht="12.75"/>
    <row r="25" ht="12.75"/>
    <row r="26" ht="12.75"/>
    <row r="27" ht="12.75">
      <c r="F27" s="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4"/>
    </row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10"/>
      <c r="F60" s="47"/>
      <c r="G60" s="11"/>
    </row>
    <row r="61" ht="12.75"/>
    <row r="64" spans="6:7" ht="18" customHeight="1">
      <c r="F64" s="11"/>
      <c r="G64" s="11"/>
    </row>
  </sheetData>
  <printOptions/>
  <pageMargins left="0.75" right="0.5" top="1" bottom="1" header="0.5" footer="0.5"/>
  <pageSetup fitToHeight="1" fitToWidth="1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9">
      <selection activeCell="F31" sqref="F31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86" t="s">
        <v>74</v>
      </c>
      <c r="B1" s="87"/>
      <c r="C1" s="87"/>
      <c r="D1" s="87"/>
      <c r="E1" s="87"/>
      <c r="F1" s="87"/>
      <c r="G1" s="86" t="s">
        <v>7</v>
      </c>
      <c r="H1" s="87"/>
    </row>
    <row r="2" spans="1:8" ht="12.75">
      <c r="A2" s="86" t="s">
        <v>119</v>
      </c>
      <c r="B2" s="87"/>
      <c r="C2" s="87"/>
      <c r="D2" s="87"/>
      <c r="E2" s="87"/>
      <c r="F2" s="87"/>
      <c r="G2" s="87"/>
      <c r="H2" s="87"/>
    </row>
    <row r="3" spans="1:8" ht="12.75">
      <c r="A3" s="87"/>
      <c r="B3" s="87"/>
      <c r="C3" s="87"/>
      <c r="D3" s="87"/>
      <c r="E3" s="87"/>
      <c r="F3" s="87"/>
      <c r="G3" s="87"/>
      <c r="H3" s="87"/>
    </row>
    <row r="4" spans="1:8" ht="12.75">
      <c r="A4" s="86" t="str">
        <f>'F-1'!A4</f>
        <v>Company:  Utilities, Inc. of Florida (602-Weathersfield)</v>
      </c>
      <c r="B4" s="87"/>
      <c r="C4" s="87"/>
      <c r="D4" s="87"/>
      <c r="E4" s="87"/>
      <c r="F4" s="87"/>
      <c r="G4" s="86" t="s">
        <v>120</v>
      </c>
      <c r="H4" s="87"/>
    </row>
    <row r="5" spans="1:8" ht="12.75">
      <c r="A5" s="86" t="str">
        <f>'F-1'!A5</f>
        <v>Docket No.:  060253-WS</v>
      </c>
      <c r="B5" s="87"/>
      <c r="C5" s="87"/>
      <c r="D5" s="87"/>
      <c r="E5" s="87"/>
      <c r="F5" s="87"/>
      <c r="G5" s="86" t="s">
        <v>10</v>
      </c>
      <c r="H5" s="87"/>
    </row>
    <row r="6" spans="1:8" ht="12.75">
      <c r="A6" s="86" t="str">
        <f>'F-1'!A6</f>
        <v>Test Year Ended:  December 31, 2005</v>
      </c>
      <c r="B6" s="87"/>
      <c r="C6" s="91"/>
      <c r="D6" s="87"/>
      <c r="E6" s="87"/>
      <c r="F6" s="87"/>
      <c r="G6" s="86" t="str">
        <f>'F-1'!J5</f>
        <v>Preparer:  Seidman, F.</v>
      </c>
      <c r="H6" s="87"/>
    </row>
    <row r="7" spans="1:8" ht="12.75">
      <c r="A7" s="87"/>
      <c r="B7" s="87"/>
      <c r="C7" s="87"/>
      <c r="D7" s="87"/>
      <c r="E7" s="87"/>
      <c r="F7" s="87"/>
      <c r="G7" s="87"/>
      <c r="H7" s="87"/>
    </row>
    <row r="8" spans="1:8" ht="12.75">
      <c r="A8" s="86" t="s">
        <v>121</v>
      </c>
      <c r="B8" s="87"/>
      <c r="C8" s="87"/>
      <c r="D8" s="87"/>
      <c r="E8" s="87"/>
      <c r="F8" s="87"/>
      <c r="G8" s="87"/>
      <c r="H8" s="87"/>
    </row>
    <row r="9" spans="1:8" ht="12.75">
      <c r="A9" s="86" t="s">
        <v>122</v>
      </c>
      <c r="B9" s="87"/>
      <c r="C9" s="87"/>
      <c r="D9" s="87"/>
      <c r="E9" s="87"/>
      <c r="F9" s="87"/>
      <c r="G9" s="87"/>
      <c r="H9" s="87"/>
    </row>
    <row r="10" spans="1:8" ht="12.75">
      <c r="A10" s="86" t="s">
        <v>123</v>
      </c>
      <c r="B10" s="87"/>
      <c r="C10" s="87"/>
      <c r="D10" s="87"/>
      <c r="E10" s="87"/>
      <c r="F10" s="87"/>
      <c r="G10" s="87"/>
      <c r="H10" s="87"/>
    </row>
    <row r="11" spans="1:8" ht="12.75">
      <c r="A11" s="86" t="s">
        <v>124</v>
      </c>
      <c r="B11" s="87"/>
      <c r="C11" s="87"/>
      <c r="D11" s="87"/>
      <c r="E11" s="87"/>
      <c r="F11" s="87"/>
      <c r="G11" s="87"/>
      <c r="H11" s="87"/>
    </row>
    <row r="12" spans="1:8" ht="12.75">
      <c r="A12" s="86" t="s">
        <v>125</v>
      </c>
      <c r="B12" s="87"/>
      <c r="C12" s="87"/>
      <c r="D12" s="87"/>
      <c r="E12" s="87"/>
      <c r="F12" s="87"/>
      <c r="G12" s="87"/>
      <c r="H12" s="87"/>
    </row>
    <row r="13" spans="1:8" ht="12.75">
      <c r="A13" s="86" t="s">
        <v>126</v>
      </c>
      <c r="B13" s="87"/>
      <c r="C13" s="87"/>
      <c r="D13" s="87"/>
      <c r="E13" s="87"/>
      <c r="F13" s="87"/>
      <c r="G13" s="87"/>
      <c r="H13" s="87"/>
    </row>
    <row r="14" spans="1:8" ht="12.75">
      <c r="A14" s="86" t="s">
        <v>127</v>
      </c>
      <c r="B14" s="87"/>
      <c r="C14" s="87"/>
      <c r="D14" s="87"/>
      <c r="E14" s="87"/>
      <c r="F14" s="87"/>
      <c r="G14" s="87"/>
      <c r="H14" s="87"/>
    </row>
    <row r="15" spans="1:10" ht="12">
      <c r="A15" s="4" t="s">
        <v>15</v>
      </c>
      <c r="B15" s="4" t="s">
        <v>15</v>
      </c>
      <c r="C15" s="4" t="s">
        <v>15</v>
      </c>
      <c r="D15" s="4" t="s">
        <v>15</v>
      </c>
      <c r="E15" s="4" t="s">
        <v>15</v>
      </c>
      <c r="F15" s="4" t="s">
        <v>15</v>
      </c>
      <c r="G15" s="4" t="s">
        <v>15</v>
      </c>
      <c r="H15" s="4" t="s">
        <v>15</v>
      </c>
      <c r="I15" s="4" t="s">
        <v>15</v>
      </c>
      <c r="J15" s="4" t="s">
        <v>15</v>
      </c>
    </row>
    <row r="17" spans="1:9" ht="12.75">
      <c r="A17" s="1" t="s">
        <v>0</v>
      </c>
      <c r="G17" s="46"/>
      <c r="H17" s="46"/>
      <c r="I17"/>
    </row>
    <row r="19" ht="12.75"/>
    <row r="20" spans="2:6" ht="12.75">
      <c r="B20" s="68" t="s">
        <v>181</v>
      </c>
      <c r="C20" s="68"/>
      <c r="D20" s="68"/>
      <c r="E20" s="68"/>
      <c r="F20" s="68"/>
    </row>
    <row r="21" spans="2:3" ht="12.75">
      <c r="B21" s="43" t="s">
        <v>212</v>
      </c>
      <c r="C21" s="2"/>
    </row>
    <row r="22" spans="2:3" ht="12.75">
      <c r="B22" s="43" t="s">
        <v>182</v>
      </c>
      <c r="C22" s="2"/>
    </row>
    <row r="23" spans="2:3" ht="12.75">
      <c r="B23" s="43" t="s">
        <v>183</v>
      </c>
      <c r="C23" s="2"/>
    </row>
    <row r="24" spans="2:3" ht="12.75">
      <c r="B24" s="43" t="s">
        <v>184</v>
      </c>
      <c r="C24" s="2"/>
    </row>
    <row r="25" ht="12.75">
      <c r="B25" t="s">
        <v>185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4"/>
    </row>
    <row r="50" ht="12.75"/>
    <row r="51" ht="12.75"/>
    <row r="52" ht="12.75"/>
    <row r="53" ht="12.75"/>
    <row r="54" ht="12.75"/>
    <row r="55" ht="12.75"/>
    <row r="56" ht="12.75"/>
    <row r="57" spans="5:6" ht="18.75">
      <c r="E57" s="9"/>
      <c r="F57" s="47"/>
    </row>
  </sheetData>
  <printOptions/>
  <pageMargins left="0.8" right="0.5" top="1" bottom="1" header="0.5" footer="0.5"/>
  <pageSetup fitToHeight="1" fitToWidth="1" orientation="portrait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1">
      <selection activeCell="F3" sqref="F3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8" ht="12.75">
      <c r="A1" s="86" t="s">
        <v>1</v>
      </c>
      <c r="B1" s="87"/>
      <c r="C1" s="87"/>
      <c r="D1" s="87"/>
      <c r="E1" s="87"/>
      <c r="F1" s="87"/>
      <c r="G1" s="87"/>
      <c r="H1" s="86" t="s">
        <v>7</v>
      </c>
    </row>
    <row r="2" spans="1:8" ht="12.75">
      <c r="A2" s="87"/>
      <c r="B2" s="87"/>
      <c r="C2" s="87"/>
      <c r="D2" s="87"/>
      <c r="E2" s="87"/>
      <c r="F2" s="87"/>
      <c r="G2" s="87"/>
      <c r="H2" s="87"/>
    </row>
    <row r="3" spans="1:8" ht="12.75">
      <c r="A3" s="86" t="str">
        <f>'F-1'!A4</f>
        <v>Company:  Utilities, Inc. of Florida (602-Weathersfield)</v>
      </c>
      <c r="B3" s="87"/>
      <c r="C3" s="87"/>
      <c r="D3" s="87"/>
      <c r="E3" s="87"/>
      <c r="F3" s="87"/>
      <c r="G3" s="87"/>
      <c r="H3" s="86" t="s">
        <v>2</v>
      </c>
    </row>
    <row r="4" spans="1:8" ht="12.75">
      <c r="A4" s="86" t="str">
        <f>'F-1'!A5</f>
        <v>Docket No.:  060253-WS</v>
      </c>
      <c r="B4" s="87"/>
      <c r="C4" s="87"/>
      <c r="D4" s="87"/>
      <c r="E4" s="87"/>
      <c r="F4" s="87"/>
      <c r="G4" s="87"/>
      <c r="H4" s="86" t="s">
        <v>10</v>
      </c>
    </row>
    <row r="5" spans="1:8" ht="12.75">
      <c r="A5" s="86" t="str">
        <f>'F-1'!A6</f>
        <v>Test Year Ended:  December 31, 2005</v>
      </c>
      <c r="B5" s="87"/>
      <c r="C5" s="88"/>
      <c r="D5" s="87"/>
      <c r="E5" s="87"/>
      <c r="F5" s="87"/>
      <c r="G5" s="87"/>
      <c r="H5" s="86" t="str">
        <f>'F-1'!J5</f>
        <v>Preparer:  Seidman, F.</v>
      </c>
    </row>
    <row r="6" spans="1:8" ht="12.75">
      <c r="A6" s="87"/>
      <c r="B6" s="87"/>
      <c r="C6" s="87"/>
      <c r="D6" s="87"/>
      <c r="E6" s="87"/>
      <c r="F6" s="87"/>
      <c r="G6" s="87"/>
      <c r="H6" s="87"/>
    </row>
    <row r="7" spans="1:8" ht="12.75">
      <c r="A7" s="86" t="s">
        <v>3</v>
      </c>
      <c r="B7" s="87"/>
      <c r="C7" s="87"/>
      <c r="D7" s="87"/>
      <c r="E7" s="87"/>
      <c r="F7" s="87"/>
      <c r="G7" s="87"/>
      <c r="H7" s="87"/>
    </row>
    <row r="8" spans="1:8" ht="12.75">
      <c r="A8" s="86" t="s">
        <v>4</v>
      </c>
      <c r="B8" s="87"/>
      <c r="C8" s="87"/>
      <c r="D8" s="87"/>
      <c r="E8" s="87"/>
      <c r="F8" s="87"/>
      <c r="G8" s="87"/>
      <c r="H8" s="87"/>
    </row>
    <row r="9" spans="1:1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12">
      <c r="C10" s="45"/>
    </row>
    <row r="12" spans="1:9" ht="12.75">
      <c r="A12" s="1" t="s">
        <v>5</v>
      </c>
      <c r="G12"/>
      <c r="I12" s="48"/>
    </row>
    <row r="15" ht="12.75"/>
    <row r="16" ht="12.75">
      <c r="C16" t="s">
        <v>213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3"/>
    </row>
    <row r="55" spans="5:6" ht="18.75">
      <c r="E55" s="9"/>
      <c r="F55" s="47"/>
    </row>
  </sheetData>
  <printOptions/>
  <pageMargins left="0.8" right="0.5" top="1" bottom="1" header="0.5" footer="0.5"/>
  <pageSetup fitToHeight="1" fitToWidth="1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="75" zoomScaleNormal="75" workbookViewId="0" topLeftCell="A19">
      <selection activeCell="Q45" sqref="Q45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9.875" style="2" customWidth="1"/>
    <col min="6" max="6" width="1.75390625" style="2" customWidth="1"/>
    <col min="7" max="7" width="10.125" style="2" customWidth="1"/>
    <col min="8" max="8" width="1.75390625" style="2" customWidth="1"/>
    <col min="9" max="9" width="10.125" style="2" customWidth="1"/>
    <col min="10" max="10" width="1.75390625" style="2" customWidth="1"/>
    <col min="11" max="11" width="19.125" style="2" customWidth="1"/>
    <col min="12" max="12" width="1.75390625" style="2" customWidth="1"/>
    <col min="13" max="13" width="11.00390625" style="2" customWidth="1"/>
    <col min="14" max="14" width="1.75390625" style="2" customWidth="1"/>
    <col min="15" max="15" width="18.625" style="2" customWidth="1"/>
    <col min="16" max="16" width="3.625" style="2" customWidth="1"/>
    <col min="17" max="17" width="9.875" style="2" customWidth="1"/>
    <col min="18" max="18" width="1.75390625" style="2" customWidth="1"/>
    <col min="19" max="19" width="10.125" style="2" customWidth="1"/>
    <col min="20" max="205" width="8.75390625" style="2" customWidth="1"/>
    <col min="206" max="16384" width="10.75390625" style="2" customWidth="1"/>
  </cols>
  <sheetData>
    <row r="1" spans="1:13" ht="12.75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6" t="s">
        <v>7</v>
      </c>
    </row>
    <row r="2" spans="1:13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>
      <c r="A3" s="86" t="str">
        <f>'F-1'!A4</f>
        <v>Company:  Utilities, Inc. of Florida (602-Weathersfield)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6" t="s">
        <v>82</v>
      </c>
    </row>
    <row r="4" spans="1:13" ht="12.75">
      <c r="A4" s="86" t="str">
        <f>'F-1'!A5</f>
        <v>Docket No.:  060253-WS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6" t="s">
        <v>10</v>
      </c>
    </row>
    <row r="5" spans="1:13" ht="12.75">
      <c r="A5" s="86" t="str">
        <f>'F-1'!A6</f>
        <v>Test Year Ended:  December 31, 2005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6" t="str">
        <f>'F-1'!J5</f>
        <v>Preparer:  Seidman, F.</v>
      </c>
    </row>
    <row r="6" spans="1:13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2.75">
      <c r="A7" s="86" t="s">
        <v>83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12.75">
      <c r="A8" s="86" t="s">
        <v>84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2.75">
      <c r="A9" s="86" t="s">
        <v>85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9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3:19" ht="12">
      <c r="C11" s="55" t="s">
        <v>16</v>
      </c>
      <c r="E11" s="55" t="s">
        <v>17</v>
      </c>
      <c r="G11" s="55" t="s">
        <v>18</v>
      </c>
      <c r="H11" s="5"/>
      <c r="I11" s="55" t="s">
        <v>19</v>
      </c>
      <c r="K11" s="55" t="s">
        <v>20</v>
      </c>
      <c r="L11" s="5"/>
      <c r="M11" s="55" t="s">
        <v>21</v>
      </c>
      <c r="N11" s="5"/>
      <c r="O11" s="55" t="s">
        <v>97</v>
      </c>
      <c r="P11" s="5"/>
      <c r="Q11" s="55" t="s">
        <v>98</v>
      </c>
      <c r="R11" s="5"/>
      <c r="S11" s="55" t="s">
        <v>101</v>
      </c>
    </row>
    <row r="12" spans="3:19" ht="12">
      <c r="C12" s="51"/>
      <c r="E12" s="100" t="s">
        <v>90</v>
      </c>
      <c r="F12" s="100"/>
      <c r="G12" s="100"/>
      <c r="H12" s="100"/>
      <c r="I12" s="100"/>
      <c r="K12" s="5" t="s">
        <v>94</v>
      </c>
      <c r="L12" s="5"/>
      <c r="M12" s="5" t="s">
        <v>95</v>
      </c>
      <c r="N12" s="5"/>
      <c r="O12" s="5" t="s">
        <v>36</v>
      </c>
      <c r="P12" s="5"/>
      <c r="Q12" s="5" t="s">
        <v>36</v>
      </c>
      <c r="R12" s="5"/>
      <c r="S12" s="5" t="s">
        <v>102</v>
      </c>
    </row>
    <row r="13" spans="1:19" ht="12">
      <c r="A13" s="2" t="s">
        <v>88</v>
      </c>
      <c r="C13" s="5"/>
      <c r="E13" s="49"/>
      <c r="F13" s="49"/>
      <c r="G13" s="49"/>
      <c r="H13" s="49"/>
      <c r="I13" s="49"/>
      <c r="K13" s="5" t="s">
        <v>26</v>
      </c>
      <c r="L13" s="5"/>
      <c r="M13" s="5" t="s">
        <v>94</v>
      </c>
      <c r="N13" s="5"/>
      <c r="O13" s="5" t="s">
        <v>26</v>
      </c>
      <c r="P13" s="5"/>
      <c r="Q13" s="5" t="s">
        <v>99</v>
      </c>
      <c r="R13" s="5"/>
      <c r="S13" s="5" t="s">
        <v>103</v>
      </c>
    </row>
    <row r="14" spans="1:19" ht="12">
      <c r="A14" s="2" t="s">
        <v>89</v>
      </c>
      <c r="C14" s="5" t="s">
        <v>29</v>
      </c>
      <c r="E14" s="5" t="s">
        <v>91</v>
      </c>
      <c r="F14" s="5"/>
      <c r="G14" s="5" t="s">
        <v>92</v>
      </c>
      <c r="H14" s="5"/>
      <c r="I14" s="5" t="s">
        <v>93</v>
      </c>
      <c r="K14" s="5" t="s">
        <v>32</v>
      </c>
      <c r="L14" s="5"/>
      <c r="M14" s="5" t="s">
        <v>96</v>
      </c>
      <c r="N14" s="5"/>
      <c r="O14" s="5" t="s">
        <v>32</v>
      </c>
      <c r="P14" s="5"/>
      <c r="Q14" s="5" t="s">
        <v>100</v>
      </c>
      <c r="R14" s="5"/>
      <c r="S14" s="5" t="s">
        <v>104</v>
      </c>
    </row>
    <row r="15" spans="1:19" ht="12">
      <c r="A15" s="49"/>
      <c r="C15" s="20"/>
      <c r="E15" s="49"/>
      <c r="G15" s="49"/>
      <c r="I15" s="49"/>
      <c r="K15" s="20"/>
      <c r="L15" s="5"/>
      <c r="M15" s="20"/>
      <c r="N15" s="5"/>
      <c r="O15" s="20"/>
      <c r="P15" s="5"/>
      <c r="Q15" s="20"/>
      <c r="R15" s="5"/>
      <c r="S15" s="20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E17" s="70">
        <v>1162</v>
      </c>
      <c r="F17" s="70"/>
      <c r="G17" s="70">
        <v>1166</v>
      </c>
      <c r="H17" s="70"/>
      <c r="I17" s="70">
        <f>+(E17+G17)/2</f>
        <v>1164</v>
      </c>
      <c r="J17" s="71"/>
      <c r="K17" s="70">
        <v>99951407</v>
      </c>
      <c r="L17" s="70"/>
      <c r="M17" s="70">
        <f>+K17/I17</f>
        <v>85868.90635738832</v>
      </c>
      <c r="N17" s="70"/>
      <c r="O17" s="70">
        <v>104375167</v>
      </c>
      <c r="P17" s="70"/>
      <c r="Q17" s="70">
        <f>+O17/M17</f>
        <v>1215.517600347537</v>
      </c>
      <c r="R17" s="72"/>
      <c r="S17" s="73"/>
    </row>
    <row r="18" spans="1:19" ht="15.75">
      <c r="A18" s="5"/>
      <c r="C18" s="5"/>
      <c r="E18" s="70"/>
      <c r="F18" s="70"/>
      <c r="G18" s="70"/>
      <c r="H18" s="70"/>
      <c r="I18" s="70"/>
      <c r="J18" s="71"/>
      <c r="K18" s="70"/>
      <c r="L18" s="70"/>
      <c r="M18" s="70"/>
      <c r="N18" s="70"/>
      <c r="O18" s="70"/>
      <c r="P18" s="70"/>
      <c r="Q18" s="70"/>
      <c r="R18" s="72"/>
      <c r="S18" s="73"/>
    </row>
    <row r="19" spans="1:19" ht="16.5">
      <c r="A19" s="5">
        <v>2</v>
      </c>
      <c r="C19" s="5">
        <v>2002</v>
      </c>
      <c r="E19" s="70">
        <f>G17</f>
        <v>1166</v>
      </c>
      <c r="F19" s="70"/>
      <c r="G19" s="70">
        <v>1165</v>
      </c>
      <c r="H19" s="74"/>
      <c r="I19" s="70">
        <f>+(E19+G19)/2</f>
        <v>1165.5</v>
      </c>
      <c r="J19" s="71"/>
      <c r="K19" s="70">
        <v>100596671</v>
      </c>
      <c r="L19" s="70"/>
      <c r="M19" s="70">
        <f>+K19/I19</f>
        <v>86312.03003003003</v>
      </c>
      <c r="N19" s="70"/>
      <c r="O19" s="70">
        <v>107536951</v>
      </c>
      <c r="P19" s="70"/>
      <c r="Q19" s="70">
        <f>+O19/M19</f>
        <v>1245.9091851111057</v>
      </c>
      <c r="R19" s="72"/>
      <c r="S19" s="73">
        <f>+(Q19/Q17)-1</f>
        <v>0.025002998520859965</v>
      </c>
    </row>
    <row r="20" spans="1:19" ht="15.75">
      <c r="A20" s="5"/>
      <c r="C20" s="5"/>
      <c r="E20" s="70"/>
      <c r="F20" s="70"/>
      <c r="G20" s="70"/>
      <c r="H20" s="70"/>
      <c r="I20" s="70"/>
      <c r="J20" s="71"/>
      <c r="K20" s="70"/>
      <c r="L20" s="70"/>
      <c r="M20" s="70"/>
      <c r="N20" s="70"/>
      <c r="O20" s="70"/>
      <c r="P20" s="70"/>
      <c r="Q20" s="70"/>
      <c r="R20" s="72"/>
      <c r="S20" s="73"/>
    </row>
    <row r="21" spans="1:19" ht="15.75">
      <c r="A21" s="5">
        <v>3</v>
      </c>
      <c r="C21" s="5">
        <v>2003</v>
      </c>
      <c r="E21" s="70">
        <f>G19</f>
        <v>1165</v>
      </c>
      <c r="F21" s="70"/>
      <c r="G21" s="70">
        <v>1156</v>
      </c>
      <c r="H21" s="70"/>
      <c r="I21" s="70">
        <f>+(E21+G21)/2</f>
        <v>1160.5</v>
      </c>
      <c r="J21" s="71"/>
      <c r="K21" s="70">
        <v>91802668</v>
      </c>
      <c r="L21" s="70"/>
      <c r="M21" s="70">
        <f>+K21/I21</f>
        <v>79106.13356311935</v>
      </c>
      <c r="N21" s="70"/>
      <c r="O21" s="70">
        <v>95929493</v>
      </c>
      <c r="P21" s="70"/>
      <c r="Q21" s="70">
        <f>+O21/M21</f>
        <v>1212.6682050950849</v>
      </c>
      <c r="R21" s="72"/>
      <c r="S21" s="73">
        <f>+(Q21/Q19)-1</f>
        <v>-0.026680098688779186</v>
      </c>
    </row>
    <row r="22" spans="1:19" ht="15.75">
      <c r="A22" s="5"/>
      <c r="C22" s="5"/>
      <c r="E22" s="70"/>
      <c r="F22" s="70"/>
      <c r="G22" s="70"/>
      <c r="H22" s="70"/>
      <c r="I22" s="70"/>
      <c r="J22" s="71"/>
      <c r="K22" s="70"/>
      <c r="L22" s="70"/>
      <c r="M22" s="70"/>
      <c r="N22" s="70"/>
      <c r="O22" s="70"/>
      <c r="P22" s="70"/>
      <c r="Q22" s="70"/>
      <c r="R22" s="72"/>
      <c r="S22" s="73"/>
    </row>
    <row r="23" spans="1:19" ht="15.75">
      <c r="A23" s="5">
        <v>4</v>
      </c>
      <c r="C23" s="5">
        <v>2004</v>
      </c>
      <c r="E23" s="70">
        <f>G21</f>
        <v>1156</v>
      </c>
      <c r="F23" s="70"/>
      <c r="G23" s="70">
        <v>1174</v>
      </c>
      <c r="H23" s="70"/>
      <c r="I23" s="70">
        <f>+(E23+G23)/2</f>
        <v>1165</v>
      </c>
      <c r="J23" s="71"/>
      <c r="K23" s="70">
        <v>92674472</v>
      </c>
      <c r="L23" s="70"/>
      <c r="M23" s="70">
        <f>+K23/I23</f>
        <v>79548.90300429185</v>
      </c>
      <c r="N23" s="70"/>
      <c r="O23" s="70">
        <v>95310631</v>
      </c>
      <c r="P23" s="70"/>
      <c r="Q23" s="70">
        <f>+O23/M23</f>
        <v>1198.138847934305</v>
      </c>
      <c r="R23" s="72"/>
      <c r="S23" s="73">
        <f>+(Q23/Q21)-1</f>
        <v>-0.01198131286013282</v>
      </c>
    </row>
    <row r="24" spans="1:19" ht="15.75">
      <c r="A24" s="5"/>
      <c r="C24" s="5"/>
      <c r="E24" s="70"/>
      <c r="F24" s="70"/>
      <c r="G24" s="70"/>
      <c r="H24" s="70"/>
      <c r="I24" s="70"/>
      <c r="J24" s="71"/>
      <c r="K24" s="70"/>
      <c r="L24" s="70"/>
      <c r="M24" s="70"/>
      <c r="N24" s="70"/>
      <c r="O24" s="70"/>
      <c r="P24" s="70"/>
      <c r="Q24" s="70"/>
      <c r="R24" s="72"/>
      <c r="S24" s="73"/>
    </row>
    <row r="25" spans="1:19" ht="15.75">
      <c r="A25" s="5">
        <v>5</v>
      </c>
      <c r="C25" s="5">
        <v>2005</v>
      </c>
      <c r="E25" s="70">
        <f>G23</f>
        <v>1174</v>
      </c>
      <c r="F25" s="70"/>
      <c r="G25" s="70">
        <v>1184</v>
      </c>
      <c r="H25" s="70"/>
      <c r="I25" s="70">
        <f>+(E25+G25)/2</f>
        <v>1179</v>
      </c>
      <c r="J25" s="71"/>
      <c r="K25" s="70">
        <v>89377621</v>
      </c>
      <c r="L25" s="70"/>
      <c r="M25" s="70">
        <f>+K25/I25</f>
        <v>75807.99067005937</v>
      </c>
      <c r="N25" s="70"/>
      <c r="O25" s="70">
        <v>91823979</v>
      </c>
      <c r="P25" s="70"/>
      <c r="Q25" s="70">
        <f>+O25/M25</f>
        <v>1211.270450362513</v>
      </c>
      <c r="R25" s="72"/>
      <c r="S25" s="73">
        <f>+(Q25/Q23)-1</f>
        <v>0.010960000546554438</v>
      </c>
    </row>
    <row r="26" spans="1:19" ht="16.5" thickBot="1">
      <c r="A26" s="5"/>
      <c r="E26" s="75"/>
      <c r="F26" s="75"/>
      <c r="G26" s="75"/>
      <c r="H26" s="75"/>
      <c r="I26" s="75"/>
      <c r="J26" s="75"/>
      <c r="K26" s="72"/>
      <c r="L26" s="72"/>
      <c r="M26" s="72"/>
      <c r="N26" s="72"/>
      <c r="O26" s="76" t="s">
        <v>105</v>
      </c>
      <c r="P26" s="72"/>
      <c r="Q26" s="72"/>
      <c r="R26" s="72"/>
      <c r="S26" s="77">
        <f>AVERAGE(S19:S25)</f>
        <v>-0.0006746031203744007</v>
      </c>
    </row>
    <row r="27" spans="5:19" ht="16.5" thickTop="1"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5:19" ht="15.75">
      <c r="E28" s="75"/>
      <c r="F28" s="75"/>
      <c r="G28" s="75"/>
      <c r="H28" s="75" t="s">
        <v>188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8"/>
    </row>
    <row r="29" spans="3:19" ht="15.75">
      <c r="C29" s="4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9" t="s">
        <v>189</v>
      </c>
      <c r="Q29" s="80" t="s">
        <v>190</v>
      </c>
      <c r="R29" s="75"/>
      <c r="S29" s="75"/>
    </row>
    <row r="30" spans="3:19" ht="15.75">
      <c r="C30" s="45"/>
      <c r="E30" s="75"/>
      <c r="F30" s="75"/>
      <c r="G30" s="75"/>
      <c r="H30" s="75"/>
      <c r="I30" s="75"/>
      <c r="J30" s="75" t="s">
        <v>191</v>
      </c>
      <c r="K30" s="75"/>
      <c r="L30" s="75"/>
      <c r="M30" s="75">
        <f>INTERCEPT(Q30:Q34,P30:P34)</f>
        <v>1233.580248914163</v>
      </c>
      <c r="N30" s="75"/>
      <c r="O30" s="72"/>
      <c r="P30" s="75">
        <v>1</v>
      </c>
      <c r="Q30" s="70">
        <f>+Q17</f>
        <v>1215.517600347537</v>
      </c>
      <c r="R30" s="75"/>
      <c r="S30" s="75"/>
    </row>
    <row r="31" spans="3:19" ht="15.75">
      <c r="C31" s="45"/>
      <c r="E31" s="75"/>
      <c r="F31" s="75"/>
      <c r="G31" s="75"/>
      <c r="H31" s="75"/>
      <c r="I31" s="75"/>
      <c r="J31" s="75" t="s">
        <v>192</v>
      </c>
      <c r="K31" s="75"/>
      <c r="L31" s="75"/>
      <c r="M31" s="75">
        <f>SLOPE(Q30:Q34,P30:P34)</f>
        <v>-5.62646371468465</v>
      </c>
      <c r="N31" s="75"/>
      <c r="O31" s="75"/>
      <c r="P31" s="75">
        <v>2</v>
      </c>
      <c r="Q31" s="70">
        <f>+Q19</f>
        <v>1245.9091851111057</v>
      </c>
      <c r="R31" s="75"/>
      <c r="S31" s="75"/>
    </row>
    <row r="32" spans="5:19" ht="15.75">
      <c r="E32" s="75"/>
      <c r="F32" s="75"/>
      <c r="G32" s="75"/>
      <c r="H32" s="75"/>
      <c r="I32" s="75"/>
      <c r="J32" s="75" t="s">
        <v>193</v>
      </c>
      <c r="K32" s="75"/>
      <c r="L32" s="75"/>
      <c r="M32" s="75">
        <f>RSQ(Q30:Q34,P30:P34)</f>
        <v>0.2543093264637815</v>
      </c>
      <c r="N32" s="75"/>
      <c r="O32" s="75"/>
      <c r="P32" s="75">
        <v>3</v>
      </c>
      <c r="Q32" s="70">
        <f>+Q21</f>
        <v>1212.6682050950849</v>
      </c>
      <c r="R32" s="75"/>
      <c r="S32" s="75"/>
    </row>
    <row r="33" spans="1:19" ht="15.75">
      <c r="A33" s="1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>
        <v>4</v>
      </c>
      <c r="Q33" s="70">
        <f>+Q23</f>
        <v>1198.138847934305</v>
      </c>
      <c r="R33" s="75"/>
      <c r="S33" s="75"/>
    </row>
    <row r="34" spans="1:19" ht="15.75">
      <c r="A34" s="1"/>
      <c r="E34" s="75"/>
      <c r="F34" s="75"/>
      <c r="G34" s="75"/>
      <c r="H34" s="75"/>
      <c r="I34" s="75"/>
      <c r="J34" s="75"/>
      <c r="K34" s="75"/>
      <c r="L34" s="75"/>
      <c r="M34" s="81"/>
      <c r="N34" s="75"/>
      <c r="O34" s="75"/>
      <c r="P34" s="75">
        <v>5</v>
      </c>
      <c r="Q34" s="70">
        <f>+Q25</f>
        <v>1211.270450362513</v>
      </c>
      <c r="R34" s="75"/>
      <c r="S34" s="75"/>
    </row>
    <row r="35" spans="1:17" ht="15.75">
      <c r="A35" s="1"/>
      <c r="M35" s="1"/>
      <c r="P35" s="75">
        <v>10</v>
      </c>
      <c r="Q35" s="70">
        <f>M30+M31*P35</f>
        <v>1177.3156117673163</v>
      </c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4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2" ht="18.75">
      <c r="A58" s="1"/>
      <c r="K58" s="11"/>
      <c r="L58" s="50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2006-09-11T02:14:16Z</cp:lastPrinted>
  <dcterms:created xsi:type="dcterms:W3CDTF">2002-03-03T13:20:23Z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