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65380" windowWidth="14952" windowHeight="9360" tabRatio="816" activeTab="0"/>
  </bookViews>
  <sheets>
    <sheet name="calc14" sheetId="1" r:id="rId1"/>
    <sheet name="Trans. Letter" sheetId="2" r:id="rId2"/>
    <sheet name="Distr. Letter" sheetId="3" r:id="rId3"/>
    <sheet name="Dist. ccMail" sheetId="4" r:id="rId4"/>
    <sheet name="NF&amp;SFP Wheels" sheetId="5" r:id="rId5"/>
    <sheet name="Corona" sheetId="6" r:id="rId6"/>
    <sheet name="Sta. Svc." sheetId="7" r:id="rId7"/>
  </sheets>
  <definedNames>
    <definedName name="_xlnm._FilterDatabase" localSheetId="6" hidden="1">'Sta. Svc.'!$A$4:$A$147</definedName>
    <definedName name="_xlnm.Print_Area" localSheetId="2">'Distr. Letter'!$A$4:$I$30</definedName>
    <definedName name="_xlnm.Print_Area" localSheetId="1">'Trans. Letter'!$A$4:$H$38</definedName>
    <definedName name="_xlnm.Print_Titles" localSheetId="6">'Sta. Svc.'!$4:$5</definedName>
  </definedNames>
  <calcPr fullCalcOnLoad="1"/>
</workbook>
</file>

<file path=xl/comments4.xml><?xml version="1.0" encoding="utf-8"?>
<comments xmlns="http://schemas.openxmlformats.org/spreadsheetml/2006/main">
  <authors>
    <author>A. Zamora</author>
  </authors>
  <commentList>
    <comment ref="G37" authorId="0">
      <text>
        <r>
          <rPr>
            <b/>
            <sz val="9"/>
            <rFont val="Tahoma"/>
            <family val="2"/>
          </rPr>
          <t>A. Zamora:</t>
        </r>
        <r>
          <rPr>
            <sz val="9"/>
            <rFont val="Tahoma"/>
            <family val="2"/>
          </rPr>
          <t xml:space="preserve">
Why aren't these included in the totals?  Is it because they are wholesale customers of FPL?  But KWEST is embedded in FMPA...</t>
        </r>
      </text>
    </comment>
  </commentList>
</comments>
</file>

<file path=xl/sharedStrings.xml><?xml version="1.0" encoding="utf-8"?>
<sst xmlns="http://schemas.openxmlformats.org/spreadsheetml/2006/main" count="526" uniqueCount="435">
  <si>
    <t>7. Short Term Firm Wheeling Losses, MWH</t>
  </si>
  <si>
    <t>2.  Transmission Losses &amp; GSU Losses, MWH</t>
  </si>
  <si>
    <t>CES</t>
  </si>
  <si>
    <t>Firm Transmission</t>
  </si>
  <si>
    <t>6.  Non-Firm Wheeling Losses, MWH</t>
  </si>
  <si>
    <t>GSU</t>
  </si>
  <si>
    <t>St.Lucie</t>
  </si>
  <si>
    <t>SEC</t>
  </si>
  <si>
    <t xml:space="preserve"> </t>
  </si>
  <si>
    <t>MONTH</t>
  </si>
  <si>
    <t>LINE</t>
  </si>
  <si>
    <t>AUTX</t>
  </si>
  <si>
    <t>DIST</t>
  </si>
  <si>
    <t>TOTAL</t>
  </si>
  <si>
    <t>LESS DIST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</si>
  <si>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</si>
  <si>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</si>
  <si>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</si>
  <si>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</si>
  <si>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</si>
  <si>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</si>
  <si>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</si>
  <si>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</si>
  <si>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</si>
  <si>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</si>
  <si>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</si>
  <si>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</si>
  <si>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Florida Power &amp; Light Company</t>
  </si>
  <si>
    <t>1.  Transmission and Conversion Losses, MWH</t>
  </si>
  <si>
    <t>1.  Net Energy for Load, MWH</t>
  </si>
  <si>
    <t>Also for your calculations:</t>
  </si>
  <si>
    <t>500kv structures</t>
  </si>
  <si>
    <t xml:space="preserve">                            Corona Losses(kw/mi)</t>
  </si>
  <si>
    <t>kw/mi</t>
  </si>
  <si>
    <t>From SYP cir. miles</t>
  </si>
  <si>
    <t>A phase</t>
  </si>
  <si>
    <t>B phase</t>
  </si>
  <si>
    <t>C phase</t>
  </si>
  <si>
    <t>total</t>
  </si>
  <si>
    <t># miles of 500kv</t>
  </si>
  <si>
    <t>losses (kw)</t>
  </si>
  <si>
    <t>MWH</t>
  </si>
  <si>
    <t>500kv H-frame structure</t>
  </si>
  <si>
    <t>no rain</t>
  </si>
  <si>
    <t>500base1.csv</t>
  </si>
  <si>
    <t>light rain (.11)in/hr</t>
  </si>
  <si>
    <t>using 1272ACSR</t>
  </si>
  <si>
    <t>Insulator losses</t>
  </si>
  <si>
    <t>230 kv structures</t>
  </si>
  <si>
    <t># miles of 230kv</t>
  </si>
  <si>
    <t>A-88290-75'-954</t>
  </si>
  <si>
    <t>ALL 230Kv Lines</t>
  </si>
  <si>
    <t xml:space="preserve">Insulator losses </t>
  </si>
  <si>
    <t>Total 230kv=</t>
  </si>
  <si>
    <t>Total 500kv=</t>
  </si>
  <si>
    <t>Total all=</t>
  </si>
  <si>
    <t>Turkey Point</t>
  </si>
  <si>
    <t>Total</t>
  </si>
  <si>
    <t>8.  Adjusted Transmission losses (Line 4 - Line 5-Line6-Line7),MWH</t>
  </si>
  <si>
    <t xml:space="preserve">9.  Flow to Transmission (MWH) </t>
  </si>
  <si>
    <t>10.  System Average Transmission Loss Percentage</t>
  </si>
  <si>
    <t>11.  System Average Transmission Loss Factors</t>
  </si>
  <si>
    <t>12. System Average Transmission Loss Percentage including GSU losses</t>
  </si>
  <si>
    <t>13. System Average Transmission Loss Expansion Factor including GSU losses</t>
  </si>
  <si>
    <t xml:space="preserve">     (Line 8 divided by Line 9)</t>
  </si>
  <si>
    <t xml:space="preserve">     a. (1 divided by (1 - (Line10 divided by 100)))</t>
  </si>
  <si>
    <t xml:space="preserve">     b. (1 - (Line 10 divided by 100))</t>
  </si>
  <si>
    <t xml:space="preserve">     (Line 8 + line 2) divided by( Line 9+ Line 2)</t>
  </si>
  <si>
    <t xml:space="preserve">      a. (1 divided by (1- (Line 12 divided by 100)))</t>
  </si>
  <si>
    <t xml:space="preserve">      b. (1 - (Line 12 divided by 100))</t>
  </si>
  <si>
    <t>2.  Generator Step-Up Transformer Loss,MWH</t>
  </si>
  <si>
    <t>3.  Conversion Losses (Distribution Substation), MWH</t>
  </si>
  <si>
    <t>5.  Southern/JEA Transfers Loss Payback, MWH</t>
  </si>
  <si>
    <t>(C23/L27)*100</t>
  </si>
  <si>
    <t>(F3+G3)</t>
  </si>
  <si>
    <t>Rainbow Energy</t>
  </si>
  <si>
    <t>(F23)</t>
  </si>
  <si>
    <t>Voltage</t>
  </si>
  <si>
    <t>Autotransformers</t>
  </si>
  <si>
    <t>Motor</t>
  </si>
  <si>
    <t>Station Service (MW)</t>
  </si>
  <si>
    <t>Station Name</t>
  </si>
  <si>
    <t>Number</t>
  </si>
  <si>
    <t>Class</t>
  </si>
  <si>
    <t>500/230</t>
  </si>
  <si>
    <t>230/138</t>
  </si>
  <si>
    <t>230/115</t>
  </si>
  <si>
    <t>230/69</t>
  </si>
  <si>
    <t>138/69</t>
  </si>
  <si>
    <t>115/69</t>
  </si>
  <si>
    <t>Operators</t>
  </si>
  <si>
    <t>Breakers</t>
  </si>
  <si>
    <t>Basic *</t>
  </si>
  <si>
    <t>Motor Oper.</t>
  </si>
  <si>
    <t>40th Street</t>
  </si>
  <si>
    <t>624A</t>
  </si>
  <si>
    <t>Airport</t>
  </si>
  <si>
    <t>Alico</t>
  </si>
  <si>
    <t>Andytown</t>
  </si>
  <si>
    <t>Arcadia</t>
  </si>
  <si>
    <t>Arch Creek</t>
  </si>
  <si>
    <t>Barna</t>
  </si>
  <si>
    <t>Beker</t>
  </si>
  <si>
    <t>Bradentown</t>
  </si>
  <si>
    <t>Bradford</t>
  </si>
  <si>
    <t>Brevard</t>
  </si>
  <si>
    <t>Bridge</t>
  </si>
  <si>
    <t>Broward</t>
  </si>
  <si>
    <t>Buckingham</t>
  </si>
  <si>
    <t>Bunnell</t>
  </si>
  <si>
    <t>C-5</t>
  </si>
  <si>
    <t>Calusa</t>
  </si>
  <si>
    <t>Cape Canaveral P.</t>
  </si>
  <si>
    <t>Cedar</t>
  </si>
  <si>
    <t>Charlotte</t>
  </si>
  <si>
    <t>Coco Beach</t>
  </si>
  <si>
    <t>Coconut Grove</t>
  </si>
  <si>
    <t>Collier</t>
  </si>
  <si>
    <t>Columbia</t>
  </si>
  <si>
    <t>Conservation</t>
  </si>
  <si>
    <t>Corbett</t>
  </si>
  <si>
    <t>Cortez</t>
  </si>
  <si>
    <t>Cutler Plant</t>
  </si>
  <si>
    <t>Dade</t>
  </si>
  <si>
    <t>Davis</t>
  </si>
  <si>
    <t>Daytona Beach</t>
  </si>
  <si>
    <t>Deauville</t>
  </si>
  <si>
    <t>Deerfield Beach</t>
  </si>
  <si>
    <t>Deland</t>
  </si>
  <si>
    <t>Duval</t>
  </si>
  <si>
    <t>Eau Gallie</t>
  </si>
  <si>
    <t>Emerson</t>
  </si>
  <si>
    <t>Flagami</t>
  </si>
  <si>
    <t>Florida City</t>
  </si>
  <si>
    <t>Fort Myers Plant</t>
  </si>
  <si>
    <t>General Electric</t>
  </si>
  <si>
    <t>Gratigny</t>
  </si>
  <si>
    <t>Greynolds</t>
  </si>
  <si>
    <t>Grissom</t>
  </si>
  <si>
    <t>Haulover</t>
  </si>
  <si>
    <t>Hobe</t>
  </si>
  <si>
    <t>Hollywood</t>
  </si>
  <si>
    <t>Howard</t>
  </si>
  <si>
    <t>Indian Creek</t>
  </si>
  <si>
    <t>Johnson</t>
  </si>
  <si>
    <t>Keentown</t>
  </si>
  <si>
    <t>Laudania</t>
  </si>
  <si>
    <t>Lauderdale Plant</t>
  </si>
  <si>
    <t>Laurelwood</t>
  </si>
  <si>
    <t>Levee</t>
  </si>
  <si>
    <t>Little River</t>
  </si>
  <si>
    <t>Malabar</t>
  </si>
  <si>
    <t>Manatee Plant</t>
  </si>
  <si>
    <t>Market</t>
  </si>
  <si>
    <t>Martin Plant</t>
  </si>
  <si>
    <t>Miami</t>
  </si>
  <si>
    <t>Miami Beach</t>
  </si>
  <si>
    <t>Miami Shores</t>
  </si>
  <si>
    <t>Midway</t>
  </si>
  <si>
    <t>Millcreek</t>
  </si>
  <si>
    <t>Myakka</t>
  </si>
  <si>
    <t>Naples</t>
  </si>
  <si>
    <t>Normandy Beach</t>
  </si>
  <si>
    <t>Norris</t>
  </si>
  <si>
    <t>North Cape</t>
  </si>
  <si>
    <t>Oakland Park</t>
  </si>
  <si>
    <t>Okeechobee</t>
  </si>
  <si>
    <t>Okeelanta</t>
  </si>
  <si>
    <t>Orange River</t>
  </si>
  <si>
    <t>Ormond</t>
  </si>
  <si>
    <t>Orsino</t>
  </si>
  <si>
    <t>Osceola</t>
  </si>
  <si>
    <t>Plumosus</t>
  </si>
  <si>
    <t>Poinsett</t>
  </si>
  <si>
    <t>Port Ever. Plant</t>
  </si>
  <si>
    <t>Pratt &amp; Whitney</t>
  </si>
  <si>
    <t>Putnam Plant</t>
  </si>
  <si>
    <t>Railway</t>
  </si>
  <si>
    <t>Ranch</t>
  </si>
  <si>
    <t>Rice</t>
  </si>
  <si>
    <t>Ringling</t>
  </si>
  <si>
    <t>Riverside</t>
  </si>
  <si>
    <t>Riviera Plant</t>
  </si>
  <si>
    <t>Roney</t>
  </si>
  <si>
    <t>Sandpiper</t>
  </si>
  <si>
    <t>Sanford Plant</t>
  </si>
  <si>
    <t>Sherman</t>
  </si>
  <si>
    <t>Sistrunk</t>
  </si>
  <si>
    <t>South Bay</t>
  </si>
  <si>
    <t>South Cape</t>
  </si>
  <si>
    <t>South Miami</t>
  </si>
  <si>
    <t>St. John's</t>
  </si>
  <si>
    <t>St. Lucie Plant</t>
  </si>
  <si>
    <t>Starke</t>
  </si>
  <si>
    <t>Tocoi</t>
  </si>
  <si>
    <t>Turnpike</t>
  </si>
  <si>
    <t>Venetian</t>
  </si>
  <si>
    <t>Venice</t>
  </si>
  <si>
    <t>Volusia</t>
  </si>
  <si>
    <t>Warfield</t>
  </si>
  <si>
    <t>West Palm Beach</t>
  </si>
  <si>
    <t>Whidden</t>
  </si>
  <si>
    <t>Yamato</t>
  </si>
  <si>
    <t>Grand Total</t>
  </si>
  <si>
    <t>* Basic usage includes A/C for relay vault and two battery chargers for a station with transformation (otherwise only one battery charger)</t>
  </si>
  <si>
    <t>KWh/day for A/C</t>
  </si>
  <si>
    <t>KWh/day for 2-battery chargers</t>
  </si>
  <si>
    <t>KWh/day for 1-battery charger</t>
  </si>
  <si>
    <t>W/hr for breaker heater</t>
  </si>
  <si>
    <t>W/hr for motor operator heater</t>
  </si>
  <si>
    <t>KWh/day for auto's fans &amp; pumps</t>
  </si>
  <si>
    <t>Barefoot</t>
  </si>
  <si>
    <t>GALLOWAY</t>
  </si>
  <si>
    <t>PENNSUCO</t>
  </si>
  <si>
    <t>Total 500kv</t>
  </si>
  <si>
    <t>Baldwin</t>
  </si>
  <si>
    <t>FRUIT INDUSTRIE</t>
  </si>
  <si>
    <t>Indiantown</t>
  </si>
  <si>
    <t>DORAL</t>
  </si>
  <si>
    <t>1. Generation Step-up Losses, MWH</t>
  </si>
  <si>
    <t>3. Total transmission loss (Line 1+Line 2), MWH</t>
  </si>
  <si>
    <t>4. Distribution Substation Transformer Losses, MWH</t>
  </si>
  <si>
    <t xml:space="preserve">Notes: </t>
  </si>
  <si>
    <t>have been calculated to be as follows:</t>
  </si>
  <si>
    <t>Terry</t>
  </si>
  <si>
    <t>(Excluded distribution loss)</t>
  </si>
  <si>
    <t>(HOURS)</t>
  </si>
  <si>
    <t>Transmission Firm</t>
  </si>
  <si>
    <t>TOTAL SYSTEM LOSS (MWh) =</t>
  </si>
  <si>
    <t>NEL</t>
  </si>
  <si>
    <t>FLOW TX</t>
  </si>
  <si>
    <t>CORONA</t>
  </si>
  <si>
    <t>Loss</t>
  </si>
  <si>
    <t>Billed
Company</t>
  </si>
  <si>
    <t>MWh
Received</t>
  </si>
  <si>
    <t>MWh
Delivered</t>
  </si>
  <si>
    <t>Fortis Energy Marketing</t>
  </si>
  <si>
    <t>City of Lakeland</t>
  </si>
  <si>
    <t>Short Term Firm - Others</t>
  </si>
  <si>
    <t>Short Term Firm - EMT</t>
  </si>
  <si>
    <t>Station</t>
  </si>
  <si>
    <t>Service</t>
  </si>
  <si>
    <t>JEA Loss</t>
  </si>
  <si>
    <t>Payback</t>
  </si>
  <si>
    <t>Total Breakers</t>
  </si>
  <si>
    <t>Form 27 Received/Wheels</t>
  </si>
  <si>
    <t>TOTAL DISTRIBUTION LOSS =</t>
  </si>
  <si>
    <t>(MWh)</t>
  </si>
  <si>
    <t>Internal IPP&amp;cogen</t>
  </si>
  <si>
    <t>Comparison:</t>
  </si>
  <si>
    <t>Last Year</t>
  </si>
  <si>
    <t>% change</t>
  </si>
  <si>
    <t>JEA Loss PB</t>
  </si>
  <si>
    <t>Trans. Loss</t>
  </si>
  <si>
    <t>Dist. TX Loss</t>
  </si>
  <si>
    <t>Pellicer</t>
  </si>
  <si>
    <t>Trans. Sales</t>
  </si>
  <si>
    <t>Primary Loss</t>
  </si>
  <si>
    <t>To Distr.</t>
  </si>
  <si>
    <t>This Year</t>
  </si>
  <si>
    <t>Flow</t>
  </si>
  <si>
    <t>Difference</t>
  </si>
  <si>
    <t>3.  Sales at Transmission, MWH</t>
  </si>
  <si>
    <t>5.  Conversion Losses (Distribution Substation), MWH</t>
  </si>
  <si>
    <t>6.  Primary Losses, MWH</t>
  </si>
  <si>
    <t>7.  Distribution Losses (Substation and Primary Losses), MWH</t>
  </si>
  <si>
    <t>8.  System Average Primary Distribution Loss Percentage</t>
  </si>
  <si>
    <t>9.  System Average Primary Distribution Loss Factor</t>
  </si>
  <si>
    <t>4.  Flow to Distribution (Line 1 - Line 2 - Line 3), MWH</t>
  </si>
  <si>
    <t xml:space="preserve">     (Line 5 + Line 6)</t>
  </si>
  <si>
    <t xml:space="preserve">     (Line 7 divided by Line 4)</t>
  </si>
  <si>
    <t xml:space="preserve">     (1 divided by (1 - (Line 8 divided by 100)))</t>
  </si>
  <si>
    <t>4.  Transmission losses (Line 1 - Line 2-Line 3), MWH</t>
  </si>
  <si>
    <t>(Flow on TX - Line 2)</t>
  </si>
  <si>
    <t>SJRPP</t>
  </si>
  <si>
    <t xml:space="preserve">    TOTAL LOSS</t>
  </si>
  <si>
    <t>2. Transmission Losses, MWH (excluding GSU loss)</t>
  </si>
  <si>
    <t>SEC Received</t>
  </si>
  <si>
    <t>1. Net Energy to Transmission is a sum of Net Energy for Load and the Total Firm Power Wheeled for others</t>
  </si>
  <si>
    <t>JEA</t>
  </si>
  <si>
    <t>Korona</t>
  </si>
  <si>
    <t>Springbank</t>
  </si>
  <si>
    <t>OVERTOWN</t>
  </si>
  <si>
    <t>(form 27)</t>
  </si>
  <si>
    <t>sum(c23..e23)</t>
  </si>
  <si>
    <t>FPL NET Generation</t>
  </si>
  <si>
    <t>-</t>
  </si>
  <si>
    <t>Sh#4</t>
  </si>
  <si>
    <t>% GSU LOSS</t>
  </si>
  <si>
    <t>Calpine Corporation</t>
  </si>
  <si>
    <t>Cargill-Alliant</t>
  </si>
  <si>
    <t>City of Homestead</t>
  </si>
  <si>
    <t>City of New Smyrna Beach</t>
  </si>
  <si>
    <t>Orlando Utilities Commission</t>
  </si>
  <si>
    <t>Southern Company Services</t>
  </si>
  <si>
    <t>Seminole Electric Coop.</t>
  </si>
  <si>
    <t>Tampa Electric Company</t>
  </si>
  <si>
    <t>Total Autx</t>
  </si>
  <si>
    <t>New River</t>
  </si>
  <si>
    <t>Coast</t>
  </si>
  <si>
    <t>New Hope Power Partnership</t>
  </si>
  <si>
    <t>Oglethorpe Power Corporation</t>
  </si>
  <si>
    <t>The Energy Authority</t>
  </si>
  <si>
    <t>Energy Marketing &amp; Trading</t>
  </si>
  <si>
    <t>GERMANTOWN</t>
  </si>
  <si>
    <t>Sales at Transmission, MWH</t>
  </si>
  <si>
    <t>(See Note 1)</t>
  </si>
  <si>
    <t>(See Note 2)</t>
  </si>
  <si>
    <t>Florida Municipal Power Agency</t>
  </si>
  <si>
    <t>Osteen</t>
  </si>
  <si>
    <t>LCEC</t>
  </si>
  <si>
    <t>JP Morgan Ventures</t>
  </si>
  <si>
    <t>Progress Energy Florida</t>
  </si>
  <si>
    <t>Reedy Creek Improvement District</t>
  </si>
  <si>
    <t>Firm TX for other</t>
  </si>
  <si>
    <t>(See Note 3)</t>
  </si>
  <si>
    <t xml:space="preserve">Prepared at direction of legal counsel. </t>
  </si>
  <si>
    <t>2. Total Firm Power Wheeled for others = Seminole Received on the FERC Form No.1</t>
  </si>
  <si>
    <t xml:space="preserve">                                                            + St. Lucie Entitlements Received on the FERC Form No.1</t>
  </si>
  <si>
    <t xml:space="preserve">                                                            + FMPA Received on the FERC Form No.1</t>
  </si>
  <si>
    <t xml:space="preserve">                                                            + VERO Received on the FERC Form No.1</t>
  </si>
  <si>
    <t xml:space="preserve">                                                            + Okeefenokee Received on the FERC Form No.1</t>
  </si>
  <si>
    <t>FERC 1</t>
  </si>
  <si>
    <t>SL Entitlement</t>
  </si>
  <si>
    <t>FMPA</t>
  </si>
  <si>
    <t>VERO</t>
  </si>
  <si>
    <t>Princeton</t>
  </si>
  <si>
    <t>Reedy Creek</t>
  </si>
  <si>
    <t>City of Homestead(stanton)</t>
  </si>
  <si>
    <t>City of Homestead(PEF)</t>
  </si>
  <si>
    <t>Orlando (Pt Charlotte)</t>
  </si>
  <si>
    <t>Okeefenokee(West Nassaw)</t>
  </si>
  <si>
    <t xml:space="preserve">                                                            + Reedy Creek Received on the FERC Form No.1</t>
  </si>
  <si>
    <t xml:space="preserve">                                                            + OUC (Port Charlotte Received on the FERC Form No.1)</t>
  </si>
  <si>
    <t>City of Vero Beach</t>
  </si>
  <si>
    <t>sum(C23..F23)</t>
  </si>
  <si>
    <t xml:space="preserve">(NEL contains CES&amp;FKEC </t>
  </si>
  <si>
    <t>&amp; LCEC&amp;WACHULA&amp; BLOUNTSTOWN )</t>
  </si>
  <si>
    <t>(Provided by Rate &amp; Tariff Group)</t>
  </si>
  <si>
    <t>3. Sales at Transmission = Retail Transmission + (FKEC/KW+LCEC+CES+Wauchula+Blountstown+Miami Dade solid waste)</t>
  </si>
  <si>
    <t>(Includes CES, FKEC,LCEC,MDCSWM, Wauchula,Blountstown and Retail sales)</t>
  </si>
  <si>
    <t>SCC DATA 2013 LOSS</t>
  </si>
  <si>
    <t>Miles based on total circuit miles from (301) FERC Form 422 data in Vulcan.</t>
  </si>
  <si>
    <t>Total Transmission Switches</t>
  </si>
  <si>
    <t>Total Distribution Switches</t>
  </si>
  <si>
    <t>Power consumed by distribution motor operate</t>
  </si>
  <si>
    <t>Distribution</t>
  </si>
  <si>
    <t>Motor Operate switch</t>
  </si>
  <si>
    <t>Exelon Generation, LLC</t>
  </si>
  <si>
    <t>Total Excluded EMT</t>
  </si>
  <si>
    <t>Non-Firm Transmission Loss excluded EMT</t>
  </si>
  <si>
    <t>Firm Wheeling loss excluded EMT</t>
  </si>
  <si>
    <t>( SCC Data included NOLOAD LOSS  for GSU, AUTO, DISTRIBUTION TRANSFORMERS)</t>
  </si>
  <si>
    <t>(F21+L3)</t>
  </si>
  <si>
    <t>(E21+K3)</t>
  </si>
  <si>
    <t>(D21+J3)</t>
  </si>
  <si>
    <t xml:space="preserve">Total Loss </t>
  </si>
  <si>
    <t>Total Adjust Yearly Loss</t>
  </si>
  <si>
    <t>Tampa( Oleander)</t>
  </si>
  <si>
    <t>(L22+L23)</t>
  </si>
  <si>
    <t xml:space="preserve">                                                            + Tampa (Oleander Received on the FERC Form No.1)</t>
  </si>
  <si>
    <t xml:space="preserve">                                                            + City of Homestead ( Stanton unit in FERC Form No.1)</t>
  </si>
  <si>
    <t xml:space="preserve">                                                            + City of Homestead ( PEF in FERC Form No.1)</t>
  </si>
  <si>
    <t>FPL Internal Net Generation</t>
  </si>
  <si>
    <t>Net Energy to Transmission, MWH</t>
  </si>
  <si>
    <t>Total Firm Power Wheels for others, MWH</t>
  </si>
  <si>
    <t>Year 2014    500 &amp; 230kv Corona Loss Study</t>
  </si>
  <si>
    <t>LWU</t>
  </si>
  <si>
    <t>NSB</t>
  </si>
  <si>
    <t>System Average Transmission Loss Percentage for 2015</t>
  </si>
  <si>
    <t>(Based on 2014 Data)</t>
  </si>
  <si>
    <t>Magnolia</t>
  </si>
  <si>
    <t>Roberts</t>
  </si>
  <si>
    <t>System Average Distribution Loss Percentage for 2015</t>
  </si>
  <si>
    <t>(Final number provided by Amy Zamora 2/10/2015)</t>
  </si>
  <si>
    <t>Rev0-03/12/2015</t>
  </si>
  <si>
    <t>PSOE- BMB</t>
  </si>
  <si>
    <t xml:space="preserve">                                                            + LWU Received on the FERC Form No.1</t>
  </si>
  <si>
    <t xml:space="preserve">                                                            + NSB Received on the FERC Form No.1</t>
  </si>
  <si>
    <t xml:space="preserve">Transmission &amp; Conversion Losses for the year 2015 ( based on data for year 2014) </t>
  </si>
  <si>
    <t>DATE:3/23/2015</t>
  </si>
  <si>
    <t>Non-Firm Transmission Wheeling Buyers
2014</t>
  </si>
  <si>
    <t>Analysis of Wheeling Losses</t>
  </si>
  <si>
    <t>calculated by Transm;</t>
  </si>
  <si>
    <t>Direct input into UI</t>
  </si>
  <si>
    <t xml:space="preserve">          C:[Generation Step-up Losses - MWH]</t>
  </si>
  <si>
    <t xml:space="preserve">          D:[Transmission Line &amp; Substation Losses (Excl GSU Losses) - MWH]</t>
  </si>
  <si>
    <t xml:space="preserve">          E:[Distribution Substation Transformer Losses - MWH]</t>
  </si>
  <si>
    <t>generation plus ties</t>
  </si>
  <si>
    <t>direct input into UI</t>
  </si>
  <si>
    <t xml:space="preserve">          K:[Seminole Load Received - MWH]</t>
  </si>
  <si>
    <t xml:space="preserve">          L:[St. Lucie Entitlement Received - MWH]</t>
  </si>
  <si>
    <t xml:space="preserve">TF Power Wheeled for Others - </t>
  </si>
  <si>
    <t>excluding Sem and PSL Entitles</t>
  </si>
  <si>
    <t>Should match Calculation No. 2 in LLS</t>
  </si>
  <si>
    <t>per above</t>
  </si>
  <si>
    <t>Other FNO:</t>
  </si>
  <si>
    <t>Blountstown</t>
  </si>
  <si>
    <t>FKEC</t>
  </si>
  <si>
    <t>Wauchula</t>
  </si>
  <si>
    <t>FF-1?</t>
  </si>
  <si>
    <t>P</t>
  </si>
  <si>
    <t>If you have any questions concerning these figures, please call Jared Brown at (305) 442-5274.</t>
  </si>
  <si>
    <t>Should match Delivered Sales at Transmission in LLS</t>
  </si>
  <si>
    <t>Should match Flow to Distribution in LLS</t>
  </si>
  <si>
    <t>Line 4 - Line 5</t>
  </si>
  <si>
    <t>Should match Flow to Primary Lines in LLS</t>
  </si>
  <si>
    <t>from CABLE Losses; direct input into UI</t>
  </si>
  <si>
    <t>Should match Flow on Primary in LLS</t>
  </si>
  <si>
    <t>above - line 6</t>
  </si>
  <si>
    <t>= (distr subst losses + primary loss) / flow to distr  in LLS</t>
  </si>
  <si>
    <t xml:space="preserve"> = flow to distr / flow on primary  in LLS</t>
  </si>
  <si>
    <t>Total Trans Losses (GSU and Trans) + Distr Subst Losses:  Line 2 + Line 3 + Line 4</t>
  </si>
  <si>
    <t>confirmed with FF1, pages 328-330; Direct input into UI</t>
  </si>
  <si>
    <t>firm only</t>
  </si>
  <si>
    <t>should match Adjusted Transmission Line &amp; Substation Losses in LLS</t>
  </si>
  <si>
    <t>should match Flow to Transmission in LLS</t>
  </si>
  <si>
    <t>should match LLS - energy, line 11</t>
  </si>
  <si>
    <t>G:[Southern/JEA Transfers Loss Payback - MWH]</t>
  </si>
  <si>
    <t>I:[Non-Firm Wheeling Losses - MWH]</t>
  </si>
  <si>
    <t>JEA/SFP/NF Losses</t>
  </si>
  <si>
    <t>Power Wheeled for Others; Direct input into UI</t>
  </si>
  <si>
    <t xml:space="preserve"> M:[Power Wheeled for Others - MWH]</t>
  </si>
  <si>
    <t>J:[Short-Term Firm Wheeling Losses - MWH]</t>
  </si>
  <si>
    <t>can verify with Form 27a; direct input into UI</t>
  </si>
  <si>
    <t xml:space="preserve">     F:[Net Energy for Load - MWH]</t>
  </si>
  <si>
    <t>X:[Primary Line Energy Losses - MWH]</t>
  </si>
  <si>
    <t>OPC 012963</t>
  </si>
  <si>
    <t>FPL RC-16</t>
  </si>
  <si>
    <t>OPC 012964</t>
  </si>
  <si>
    <t>OPC 012965</t>
  </si>
  <si>
    <t>OPC 012966</t>
  </si>
  <si>
    <t>OPC 012967</t>
  </si>
  <si>
    <t>OPC 012968</t>
  </si>
  <si>
    <t>OPC 012969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</si>
</sst>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#,##0.000"/>
    <numFmt numFmtId="168" formatCode="0.0000%"/>
    <numFmt numFmtId="169" formatCode="#,##0;[Red]#,##0"/>
    <numFmt numFmtId="170" formatCode="0.000%"/>
    <numFmt numFmtId="171" formatCode="0.0%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_);_(* \(#,##0\);_(* &quot;-&quot;??_);_(@_)"/>
    <numFmt numFmtId="178" formatCode="0.00000"/>
  </numFmts>
  <fonts count="8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12"/>
      <name val="CG Times (WN)"/>
      <family val="1"/>
    </font>
    <font>
      <sz val="12"/>
      <name val="Arial"/>
      <family val="2"/>
    </font>
    <font>
      <sz val="11"/>
      <name val="CG Times (WN)"/>
      <family val="1"/>
    </font>
    <font>
      <sz val="11"/>
      <name val="Arial"/>
      <family val="2"/>
    </font>
    <font>
      <sz val="11"/>
      <color indexed="12"/>
      <name val="CG Times (WN)"/>
      <family val="1"/>
    </font>
    <font>
      <b/>
      <sz val="14"/>
      <name val="CG Times (WN)"/>
      <family val="0"/>
    </font>
    <font>
      <sz val="11"/>
      <color indexed="12"/>
      <name val="CG Times (W1)"/>
      <family val="1"/>
    </font>
    <font>
      <sz val="11"/>
      <name val="CG Times (W1)"/>
      <family val="1"/>
    </font>
    <font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8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53"/>
      <name val="Arial"/>
      <family val="2"/>
    </font>
    <font>
      <b/>
      <sz val="16"/>
      <color indexed="53"/>
      <name val="Arial"/>
      <family val="2"/>
    </font>
    <font>
      <b/>
      <sz val="16"/>
      <color indexed="17"/>
      <name val="Arial"/>
      <family val="2"/>
    </font>
    <font>
      <sz val="16"/>
      <color indexed="12"/>
      <name val="Arial"/>
      <family val="2"/>
    </font>
    <font>
      <sz val="16"/>
      <color indexed="39"/>
      <name val="Arial"/>
      <family val="2"/>
    </font>
    <font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14"/>
      <color indexed="17"/>
      <name val="Arial"/>
      <family val="2"/>
    </font>
    <font>
      <b/>
      <sz val="14"/>
      <name val="Arial"/>
      <family val="2"/>
    </font>
    <font>
      <b/>
      <sz val="11"/>
      <color indexed="17"/>
      <name val="Arial"/>
      <family val="2"/>
    </font>
    <font>
      <b/>
      <sz val="14"/>
      <color indexed="53"/>
      <name val="Arial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sz val="10"/>
      <color indexed="14"/>
      <name val="Arial"/>
      <family val="2"/>
    </font>
    <font>
      <b/>
      <u val="single"/>
      <sz val="10"/>
      <color indexed="62"/>
      <name val="Arial"/>
      <family val="2"/>
    </font>
    <font>
      <u val="single"/>
      <sz val="16"/>
      <color indexed="10"/>
      <name val="Arial"/>
      <family val="2"/>
    </font>
    <font>
      <b/>
      <sz val="16"/>
      <color indexed="10"/>
      <name val="Wingdings 2"/>
      <family val="1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sz val="10"/>
      <color rgb="FF7030A0"/>
      <name val="Arial"/>
      <family val="2"/>
    </font>
    <font>
      <sz val="10"/>
      <color rgb="FFFF33CC"/>
      <name val="Arial"/>
      <family val="2"/>
    </font>
    <font>
      <b/>
      <u val="single"/>
      <sz val="10"/>
      <color rgb="FF7030A0"/>
      <name val="Arial"/>
      <family val="2"/>
    </font>
    <font>
      <u val="single"/>
      <sz val="16"/>
      <color rgb="FFFF0000"/>
      <name val="Arial"/>
      <family val="2"/>
    </font>
    <font>
      <b/>
      <sz val="16"/>
      <color rgb="FFFF0000"/>
      <name val="Wingdings 2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7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3" fontId="7" fillId="0" borderId="0" xfId="0" applyNumberFormat="1" applyFont="1" applyAlignment="1">
      <alignment/>
    </xf>
    <xf numFmtId="3" fontId="9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Continuous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0" fontId="9" fillId="0" borderId="10" xfId="0" applyNumberFormat="1" applyFont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4" xfId="0" applyFont="1" applyBorder="1" applyAlignment="1">
      <alignment horizontal="centerContinuous"/>
    </xf>
    <xf numFmtId="0" fontId="0" fillId="0" borderId="0" xfId="0" applyAlignment="1" quotePrefix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7" xfId="0" applyFont="1" applyBorder="1" applyAlignment="1" quotePrefix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0" fontId="5" fillId="0" borderId="0" xfId="0" applyFont="1" applyAlignment="1" quotePrefix="1">
      <alignment horizontal="left"/>
    </xf>
    <xf numFmtId="0" fontId="10" fillId="0" borderId="0" xfId="0" applyFont="1" applyAlignment="1">
      <alignment horizontal="centerContinuous"/>
    </xf>
    <xf numFmtId="3" fontId="11" fillId="0" borderId="1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0" fontId="1" fillId="0" borderId="0" xfId="0" applyFont="1" applyAlignment="1" quotePrefix="1">
      <alignment horizontal="left"/>
    </xf>
    <xf numFmtId="3" fontId="9" fillId="0" borderId="0" xfId="0" applyNumberFormat="1" applyFont="1" applyBorder="1" applyAlignment="1">
      <alignment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6" fillId="0" borderId="0" xfId="0" applyFont="1" applyAlignment="1" quotePrefix="1">
      <alignment horizontal="left"/>
    </xf>
    <xf numFmtId="3" fontId="4" fillId="0" borderId="0" xfId="0" applyNumberFormat="1" applyFont="1" applyAlignment="1" quotePrefix="1">
      <alignment/>
    </xf>
    <xf numFmtId="0" fontId="5" fillId="0" borderId="0" xfId="0" applyFont="1" applyAlignment="1">
      <alignment horizontal="left"/>
    </xf>
    <xf numFmtId="10" fontId="0" fillId="0" borderId="0" xfId="0" applyNumberFormat="1" applyAlignment="1">
      <alignment/>
    </xf>
    <xf numFmtId="165" fontId="0" fillId="0" borderId="0" xfId="0" applyNumberFormat="1" applyAlignment="1" quotePrefix="1">
      <alignment horizontal="right"/>
    </xf>
    <xf numFmtId="165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38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 horizontal="centerContinuous" wrapText="1"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 horizontal="centerContinuous"/>
    </xf>
    <xf numFmtId="3" fontId="0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1" fontId="8" fillId="0" borderId="0" xfId="0" applyNumberFormat="1" applyFont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 horizontal="centerContinuous"/>
    </xf>
    <xf numFmtId="0" fontId="20" fillId="0" borderId="24" xfId="0" applyFont="1" applyBorder="1" applyAlignment="1">
      <alignment horizontal="centerContinuous"/>
    </xf>
    <xf numFmtId="0" fontId="20" fillId="0" borderId="25" xfId="0" applyFont="1" applyBorder="1" applyAlignment="1">
      <alignment horizontal="centerContinuous"/>
    </xf>
    <xf numFmtId="0" fontId="20" fillId="0" borderId="22" xfId="0" applyFont="1" applyBorder="1" applyAlignment="1">
      <alignment horizontal="center"/>
    </xf>
    <xf numFmtId="2" fontId="20" fillId="0" borderId="22" xfId="0" applyNumberFormat="1" applyFont="1" applyBorder="1" applyAlignment="1">
      <alignment horizontal="center"/>
    </xf>
    <xf numFmtId="2" fontId="21" fillId="0" borderId="0" xfId="0" applyNumberFormat="1" applyFont="1" applyAlignment="1">
      <alignment/>
    </xf>
    <xf numFmtId="0" fontId="20" fillId="0" borderId="26" xfId="0" applyFont="1" applyBorder="1" applyAlignment="1">
      <alignment horizontal="center"/>
    </xf>
    <xf numFmtId="2" fontId="20" fillId="0" borderId="23" xfId="0" applyNumberFormat="1" applyFont="1" applyBorder="1" applyAlignment="1">
      <alignment horizontal="center"/>
    </xf>
    <xf numFmtId="2" fontId="20" fillId="0" borderId="24" xfId="0" applyNumberFormat="1" applyFont="1" applyBorder="1" applyAlignment="1">
      <alignment horizontal="center"/>
    </xf>
    <xf numFmtId="2" fontId="20" fillId="0" borderId="25" xfId="0" applyNumberFormat="1" applyFont="1" applyBorder="1" applyAlignment="1">
      <alignment horizontal="center"/>
    </xf>
    <xf numFmtId="2" fontId="20" fillId="0" borderId="19" xfId="0" applyNumberFormat="1" applyFont="1" applyBorder="1" applyAlignment="1">
      <alignment/>
    </xf>
    <xf numFmtId="0" fontId="20" fillId="0" borderId="26" xfId="0" applyFont="1" applyBorder="1" applyAlignment="1">
      <alignment/>
    </xf>
    <xf numFmtId="2" fontId="20" fillId="0" borderId="26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3" fontId="21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22" fillId="0" borderId="27" xfId="0" applyNumberFormat="1" applyFont="1" applyBorder="1" applyAlignment="1">
      <alignment/>
    </xf>
    <xf numFmtId="3" fontId="23" fillId="33" borderId="0" xfId="0" applyNumberFormat="1" applyFont="1" applyFill="1" applyAlignment="1">
      <alignment/>
    </xf>
    <xf numFmtId="164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NumberFormat="1" applyFont="1" applyAlignment="1">
      <alignment/>
    </xf>
    <xf numFmtId="0" fontId="24" fillId="0" borderId="0" xfId="0" applyFont="1" applyAlignment="1">
      <alignment/>
    </xf>
    <xf numFmtId="3" fontId="20" fillId="0" borderId="28" xfId="0" applyNumberFormat="1" applyFont="1" applyBorder="1" applyAlignment="1">
      <alignment horizontal="centerContinuous"/>
    </xf>
    <xf numFmtId="3" fontId="21" fillId="0" borderId="13" xfId="0" applyNumberFormat="1" applyFont="1" applyBorder="1" applyAlignment="1">
      <alignment horizontal="centerContinuous"/>
    </xf>
    <xf numFmtId="3" fontId="21" fillId="0" borderId="13" xfId="0" applyNumberFormat="1" applyFont="1" applyFill="1" applyBorder="1" applyAlignment="1">
      <alignment horizontal="centerContinuous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3" fontId="20" fillId="0" borderId="29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 horizontal="center"/>
    </xf>
    <xf numFmtId="3" fontId="20" fillId="0" borderId="11" xfId="0" applyNumberFormat="1" applyFont="1" applyFill="1" applyBorder="1" applyAlignment="1">
      <alignment horizontal="center"/>
    </xf>
    <xf numFmtId="3" fontId="20" fillId="0" borderId="30" xfId="0" applyNumberFormat="1" applyFont="1" applyBorder="1" applyAlignment="1">
      <alignment horizontal="center"/>
    </xf>
    <xf numFmtId="3" fontId="25" fillId="0" borderId="0" xfId="0" applyNumberFormat="1" applyFont="1" applyAlignment="1">
      <alignment/>
    </xf>
    <xf numFmtId="171" fontId="25" fillId="0" borderId="0" xfId="0" applyNumberFormat="1" applyFont="1" applyAlignment="1">
      <alignment/>
    </xf>
    <xf numFmtId="3" fontId="21" fillId="0" borderId="31" xfId="0" applyNumberFormat="1" applyFont="1" applyBorder="1" applyAlignment="1">
      <alignment horizontal="center"/>
    </xf>
    <xf numFmtId="3" fontId="21" fillId="0" borderId="32" xfId="0" applyNumberFormat="1" applyFont="1" applyBorder="1" applyAlignment="1">
      <alignment/>
    </xf>
    <xf numFmtId="3" fontId="22" fillId="0" borderId="32" xfId="0" applyNumberFormat="1" applyFont="1" applyBorder="1" applyAlignment="1">
      <alignment/>
    </xf>
    <xf numFmtId="9" fontId="25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21" fillId="0" borderId="0" xfId="0" applyNumberFormat="1" applyFont="1" applyBorder="1" applyAlignment="1">
      <alignment/>
    </xf>
    <xf numFmtId="3" fontId="25" fillId="33" borderId="0" xfId="0" applyNumberFormat="1" applyFont="1" applyFill="1" applyAlignment="1">
      <alignment/>
    </xf>
    <xf numFmtId="2" fontId="20" fillId="0" borderId="0" xfId="0" applyNumberFormat="1" applyFont="1" applyAlignment="1">
      <alignment/>
    </xf>
    <xf numFmtId="3" fontId="20" fillId="0" borderId="33" xfId="0" applyNumberFormat="1" applyFont="1" applyBorder="1" applyAlignment="1">
      <alignment/>
    </xf>
    <xf numFmtId="3" fontId="22" fillId="33" borderId="34" xfId="0" applyNumberFormat="1" applyFont="1" applyFill="1" applyBorder="1" applyAlignment="1">
      <alignment/>
    </xf>
    <xf numFmtId="3" fontId="27" fillId="33" borderId="34" xfId="0" applyNumberFormat="1" applyFont="1" applyFill="1" applyBorder="1" applyAlignment="1">
      <alignment/>
    </xf>
    <xf numFmtId="3" fontId="22" fillId="0" borderId="35" xfId="0" applyNumberFormat="1" applyFont="1" applyBorder="1" applyAlignment="1">
      <alignment/>
    </xf>
    <xf numFmtId="0" fontId="20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3" fontId="25" fillId="0" borderId="0" xfId="0" applyNumberFormat="1" applyFont="1" applyAlignment="1">
      <alignment horizontal="right"/>
    </xf>
    <xf numFmtId="2" fontId="24" fillId="0" borderId="0" xfId="0" applyNumberFormat="1" applyFont="1" applyAlignment="1">
      <alignment/>
    </xf>
    <xf numFmtId="9" fontId="21" fillId="0" borderId="0" xfId="0" applyNumberFormat="1" applyFont="1" applyAlignment="1">
      <alignment horizontal="center"/>
    </xf>
    <xf numFmtId="2" fontId="21" fillId="33" borderId="0" xfId="0" applyNumberFormat="1" applyFont="1" applyFill="1" applyAlignment="1">
      <alignment/>
    </xf>
    <xf numFmtId="3" fontId="21" fillId="0" borderId="0" xfId="0" applyNumberFormat="1" applyFont="1" applyBorder="1" applyAlignment="1" applyProtection="1">
      <alignment/>
      <protection locked="0"/>
    </xf>
    <xf numFmtId="0" fontId="23" fillId="34" borderId="0" xfId="0" applyNumberFormat="1" applyFont="1" applyFill="1" applyAlignment="1">
      <alignment/>
    </xf>
    <xf numFmtId="2" fontId="23" fillId="34" borderId="0" xfId="0" applyNumberFormat="1" applyFont="1" applyFill="1" applyAlignment="1">
      <alignment/>
    </xf>
    <xf numFmtId="9" fontId="23" fillId="34" borderId="0" xfId="0" applyNumberFormat="1" applyFont="1" applyFill="1" applyAlignment="1">
      <alignment horizontal="center"/>
    </xf>
    <xf numFmtId="3" fontId="23" fillId="34" borderId="0" xfId="0" applyNumberFormat="1" applyFont="1" applyFill="1" applyAlignment="1">
      <alignment/>
    </xf>
    <xf numFmtId="3" fontId="28" fillId="0" borderId="0" xfId="0" applyNumberFormat="1" applyFont="1" applyAlignment="1">
      <alignment horizontal="left"/>
    </xf>
    <xf numFmtId="3" fontId="29" fillId="0" borderId="0" xfId="0" applyNumberFormat="1" applyFont="1" applyAlignment="1">
      <alignment horizontal="center"/>
    </xf>
    <xf numFmtId="0" fontId="23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9" fontId="23" fillId="0" borderId="0" xfId="0" applyNumberFormat="1" applyFont="1" applyAlignment="1">
      <alignment horizontal="center"/>
    </xf>
    <xf numFmtId="169" fontId="28" fillId="34" borderId="0" xfId="0" applyNumberFormat="1" applyFont="1" applyFill="1" applyAlignment="1">
      <alignment horizontal="left"/>
    </xf>
    <xf numFmtId="0" fontId="23" fillId="0" borderId="0" xfId="0" applyFont="1" applyAlignment="1">
      <alignment/>
    </xf>
    <xf numFmtId="3" fontId="20" fillId="0" borderId="0" xfId="0" applyNumberFormat="1" applyFont="1" applyAlignment="1">
      <alignment/>
    </xf>
    <xf numFmtId="3" fontId="27" fillId="0" borderId="0" xfId="0" applyNumberFormat="1" applyFont="1" applyAlignment="1" quotePrefix="1">
      <alignment horizontal="right"/>
    </xf>
    <xf numFmtId="3" fontId="21" fillId="0" borderId="0" xfId="0" applyNumberFormat="1" applyFont="1" applyAlignment="1">
      <alignment horizontal="center"/>
    </xf>
    <xf numFmtId="10" fontId="29" fillId="0" borderId="0" xfId="0" applyNumberFormat="1" applyFont="1" applyAlignment="1">
      <alignment horizontal="center"/>
    </xf>
    <xf numFmtId="2" fontId="20" fillId="0" borderId="36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38" fontId="1" fillId="0" borderId="10" xfId="0" applyNumberFormat="1" applyFont="1" applyFill="1" applyBorder="1" applyAlignment="1">
      <alignment horizontal="center" wrapText="1"/>
    </xf>
    <xf numFmtId="3" fontId="21" fillId="33" borderId="0" xfId="0" applyNumberFormat="1" applyFont="1" applyFill="1" applyAlignment="1">
      <alignment/>
    </xf>
    <xf numFmtId="3" fontId="30" fillId="0" borderId="0" xfId="0" applyNumberFormat="1" applyFont="1" applyAlignment="1">
      <alignment/>
    </xf>
    <xf numFmtId="0" fontId="31" fillId="0" borderId="0" xfId="0" applyFont="1" applyAlignment="1">
      <alignment horizontal="right"/>
    </xf>
    <xf numFmtId="0" fontId="31" fillId="0" borderId="0" xfId="0" applyFont="1" applyAlignment="1" quotePrefix="1">
      <alignment horizontal="right"/>
    </xf>
    <xf numFmtId="3" fontId="32" fillId="0" borderId="0" xfId="0" applyNumberFormat="1" applyFont="1" applyAlignment="1">
      <alignment/>
    </xf>
    <xf numFmtId="3" fontId="33" fillId="0" borderId="0" xfId="0" applyNumberFormat="1" applyFont="1" applyAlignment="1">
      <alignment horizontal="left"/>
    </xf>
    <xf numFmtId="3" fontId="23" fillId="0" borderId="0" xfId="0" applyNumberFormat="1" applyFont="1" applyAlignment="1">
      <alignment horizontal="center"/>
    </xf>
    <xf numFmtId="3" fontId="34" fillId="0" borderId="0" xfId="0" applyNumberFormat="1" applyFont="1" applyAlignment="1">
      <alignment/>
    </xf>
    <xf numFmtId="3" fontId="35" fillId="0" borderId="11" xfId="0" applyNumberFormat="1" applyFont="1" applyBorder="1" applyAlignment="1">
      <alignment horizontal="center"/>
    </xf>
    <xf numFmtId="3" fontId="35" fillId="0" borderId="11" xfId="0" applyNumberFormat="1" applyFont="1" applyFill="1" applyBorder="1" applyAlignment="1">
      <alignment horizontal="center"/>
    </xf>
    <xf numFmtId="3" fontId="35" fillId="0" borderId="0" xfId="0" applyNumberFormat="1" applyFont="1" applyAlignment="1">
      <alignment horizontal="center"/>
    </xf>
    <xf numFmtId="2" fontId="37" fillId="0" borderId="0" xfId="0" applyNumberFormat="1" applyFont="1" applyAlignment="1">
      <alignment/>
    </xf>
    <xf numFmtId="170" fontId="36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2" fontId="31" fillId="0" borderId="0" xfId="0" applyNumberFormat="1" applyFont="1" applyAlignment="1">
      <alignment/>
    </xf>
    <xf numFmtId="2" fontId="30" fillId="0" borderId="0" xfId="0" applyNumberFormat="1" applyFont="1" applyAlignment="1">
      <alignment/>
    </xf>
    <xf numFmtId="0" fontId="38" fillId="0" borderId="0" xfId="0" applyFont="1" applyAlignment="1">
      <alignment/>
    </xf>
    <xf numFmtId="2" fontId="18" fillId="0" borderId="0" xfId="0" applyNumberFormat="1" applyFont="1" applyAlignment="1">
      <alignment/>
    </xf>
    <xf numFmtId="10" fontId="25" fillId="0" borderId="0" xfId="0" applyNumberFormat="1" applyFont="1" applyAlignment="1">
      <alignment/>
    </xf>
    <xf numFmtId="3" fontId="21" fillId="0" borderId="0" xfId="0" applyNumberFormat="1" applyFont="1" applyFill="1" applyAlignment="1">
      <alignment/>
    </xf>
    <xf numFmtId="3" fontId="20" fillId="0" borderId="0" xfId="0" applyNumberFormat="1" applyFont="1" applyFill="1" applyBorder="1" applyAlignment="1" applyProtection="1">
      <alignment horizontal="left"/>
      <protection locked="0"/>
    </xf>
    <xf numFmtId="3" fontId="21" fillId="0" borderId="0" xfId="0" applyNumberFormat="1" applyFont="1" applyFill="1" applyAlignment="1">
      <alignment horizontal="left"/>
    </xf>
    <xf numFmtId="3" fontId="20" fillId="0" borderId="0" xfId="0" applyNumberFormat="1" applyFont="1" applyFill="1" applyAlignment="1">
      <alignment/>
    </xf>
    <xf numFmtId="2" fontId="2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22" fillId="0" borderId="0" xfId="0" applyNumberFormat="1" applyFont="1" applyFill="1" applyAlignment="1">
      <alignment horizontal="left"/>
    </xf>
    <xf numFmtId="2" fontId="6" fillId="0" borderId="0" xfId="0" applyNumberFormat="1" applyFont="1" applyAlignment="1">
      <alignment/>
    </xf>
    <xf numFmtId="0" fontId="0" fillId="0" borderId="37" xfId="59" applyNumberFormat="1" applyBorder="1">
      <alignment/>
      <protection/>
    </xf>
    <xf numFmtId="0" fontId="0" fillId="0" borderId="38" xfId="59" applyNumberFormat="1" applyBorder="1">
      <alignment/>
      <protection/>
    </xf>
    <xf numFmtId="0" fontId="0" fillId="0" borderId="0" xfId="0" applyFont="1" applyAlignment="1">
      <alignment/>
    </xf>
    <xf numFmtId="0" fontId="81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16" borderId="0" xfId="0" applyNumberFormat="1" applyFont="1" applyFill="1" applyAlignment="1">
      <alignment/>
    </xf>
    <xf numFmtId="3" fontId="4" fillId="16" borderId="0" xfId="0" applyNumberFormat="1" applyFont="1" applyFill="1" applyAlignment="1">
      <alignment/>
    </xf>
    <xf numFmtId="0" fontId="81" fillId="0" borderId="0" xfId="0" applyFont="1" applyAlignment="1">
      <alignment/>
    </xf>
    <xf numFmtId="3" fontId="81" fillId="0" borderId="0" xfId="58" applyNumberFormat="1" applyFont="1" applyAlignment="1">
      <alignment horizontal="left"/>
      <protection/>
    </xf>
    <xf numFmtId="0" fontId="0" fillId="0" borderId="39" xfId="0" applyBorder="1" applyAlignment="1">
      <alignment/>
    </xf>
    <xf numFmtId="0" fontId="82" fillId="0" borderId="0" xfId="0" applyFont="1" applyAlignment="1">
      <alignment horizontal="center"/>
    </xf>
    <xf numFmtId="177" fontId="83" fillId="16" borderId="0" xfId="42" applyNumberFormat="1" applyFont="1" applyFill="1" applyAlignment="1">
      <alignment/>
    </xf>
    <xf numFmtId="177" fontId="84" fillId="0" borderId="0" xfId="42" applyNumberFormat="1" applyFont="1" applyAlignment="1">
      <alignment/>
    </xf>
    <xf numFmtId="177" fontId="84" fillId="0" borderId="39" xfId="42" applyNumberFormat="1" applyFont="1" applyBorder="1" applyAlignment="1">
      <alignment/>
    </xf>
    <xf numFmtId="177" fontId="84" fillId="16" borderId="0" xfId="42" applyNumberFormat="1" applyFont="1" applyFill="1" applyAlignment="1">
      <alignment/>
    </xf>
    <xf numFmtId="177" fontId="83" fillId="0" borderId="0" xfId="42" applyNumberFormat="1" applyFont="1" applyAlignment="1">
      <alignment/>
    </xf>
    <xf numFmtId="177" fontId="83" fillId="0" borderId="39" xfId="42" applyNumberFormat="1" applyFont="1" applyBorder="1" applyAlignment="1">
      <alignment/>
    </xf>
    <xf numFmtId="177" fontId="83" fillId="0" borderId="0" xfId="42" applyNumberFormat="1" applyFont="1" applyFill="1" applyAlignment="1">
      <alignment/>
    </xf>
    <xf numFmtId="177" fontId="81" fillId="0" borderId="0" xfId="42" applyNumberFormat="1" applyFont="1" applyFill="1" applyAlignment="1">
      <alignment/>
    </xf>
    <xf numFmtId="177" fontId="83" fillId="0" borderId="40" xfId="42" applyNumberFormat="1" applyFont="1" applyBorder="1" applyAlignment="1">
      <alignment/>
    </xf>
    <xf numFmtId="177" fontId="81" fillId="0" borderId="0" xfId="0" applyNumberFormat="1" applyFont="1" applyAlignment="1">
      <alignment/>
    </xf>
    <xf numFmtId="0" fontId="85" fillId="0" borderId="0" xfId="0" applyFont="1" applyAlignment="1">
      <alignment/>
    </xf>
    <xf numFmtId="3" fontId="9" fillId="16" borderId="10" xfId="0" applyNumberFormat="1" applyFont="1" applyFill="1" applyBorder="1" applyAlignment="1">
      <alignment/>
    </xf>
    <xf numFmtId="2" fontId="86" fillId="0" borderId="0" xfId="0" applyNumberFormat="1" applyFont="1" applyAlignment="1">
      <alignment horizontal="center"/>
    </xf>
    <xf numFmtId="2" fontId="87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 quotePrefix="1">
      <alignment/>
    </xf>
    <xf numFmtId="37" fontId="81" fillId="16" borderId="41" xfId="0" applyNumberFormat="1" applyFont="1" applyFill="1" applyBorder="1" applyAlignment="1">
      <alignment/>
    </xf>
    <xf numFmtId="3" fontId="11" fillId="16" borderId="10" xfId="0" applyNumberFormat="1" applyFont="1" applyFill="1" applyBorder="1" applyAlignment="1">
      <alignment/>
    </xf>
    <xf numFmtId="37" fontId="8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23</xdr:row>
      <xdr:rowOff>114300</xdr:rowOff>
    </xdr:from>
    <xdr:to>
      <xdr:col>9</xdr:col>
      <xdr:colOff>0</xdr:colOff>
      <xdr:row>23</xdr:row>
      <xdr:rowOff>114300</xdr:rowOff>
    </xdr:to>
    <xdr:sp>
      <xdr:nvSpPr>
        <xdr:cNvPr id="1" name="Straight Arrow Connector 1"/>
        <xdr:cNvSpPr>
          <a:spLocks/>
        </xdr:cNvSpPr>
      </xdr:nvSpPr>
      <xdr:spPr>
        <a:xfrm flipH="1">
          <a:off x="5762625" y="4467225"/>
          <a:ext cx="609600" cy="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21</xdr:row>
      <xdr:rowOff>104775</xdr:rowOff>
    </xdr:from>
    <xdr:to>
      <xdr:col>9</xdr:col>
      <xdr:colOff>600075</xdr:colOff>
      <xdr:row>21</xdr:row>
      <xdr:rowOff>104775</xdr:rowOff>
    </xdr:to>
    <xdr:sp>
      <xdr:nvSpPr>
        <xdr:cNvPr id="2" name="Straight Arrow Connector 2"/>
        <xdr:cNvSpPr>
          <a:spLocks/>
        </xdr:cNvSpPr>
      </xdr:nvSpPr>
      <xdr:spPr>
        <a:xfrm flipH="1">
          <a:off x="6362700" y="4076700"/>
          <a:ext cx="609600" cy="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12</xdr:row>
      <xdr:rowOff>104775</xdr:rowOff>
    </xdr:from>
    <xdr:to>
      <xdr:col>10</xdr:col>
      <xdr:colOff>0</xdr:colOff>
      <xdr:row>12</xdr:row>
      <xdr:rowOff>104775</xdr:rowOff>
    </xdr:to>
    <xdr:sp>
      <xdr:nvSpPr>
        <xdr:cNvPr id="1" name="Straight Arrow Connector 1"/>
        <xdr:cNvSpPr>
          <a:spLocks/>
        </xdr:cNvSpPr>
      </xdr:nvSpPr>
      <xdr:spPr>
        <a:xfrm flipH="1">
          <a:off x="6124575" y="2333625"/>
          <a:ext cx="609600" cy="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14</xdr:row>
      <xdr:rowOff>104775</xdr:rowOff>
    </xdr:from>
    <xdr:to>
      <xdr:col>10</xdr:col>
      <xdr:colOff>9525</xdr:colOff>
      <xdr:row>14</xdr:row>
      <xdr:rowOff>104775</xdr:rowOff>
    </xdr:to>
    <xdr:sp>
      <xdr:nvSpPr>
        <xdr:cNvPr id="2" name="Straight Arrow Connector 2"/>
        <xdr:cNvSpPr>
          <a:spLocks/>
        </xdr:cNvSpPr>
      </xdr:nvSpPr>
      <xdr:spPr>
        <a:xfrm flipH="1">
          <a:off x="6134100" y="2714625"/>
          <a:ext cx="609600" cy="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3" name="Straight Arrow Connector 3"/>
        <xdr:cNvSpPr>
          <a:spLocks/>
        </xdr:cNvSpPr>
      </xdr:nvSpPr>
      <xdr:spPr>
        <a:xfrm flipH="1">
          <a:off x="9410700" y="3105150"/>
          <a:ext cx="609600" cy="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733425</xdr:colOff>
      <xdr:row>18</xdr:row>
      <xdr:rowOff>114300</xdr:rowOff>
    </xdr:from>
    <xdr:to>
      <xdr:col>14</xdr:col>
      <xdr:colOff>600075</xdr:colOff>
      <xdr:row>18</xdr:row>
      <xdr:rowOff>114300</xdr:rowOff>
    </xdr:to>
    <xdr:sp>
      <xdr:nvSpPr>
        <xdr:cNvPr id="4" name="Straight Arrow Connector 4"/>
        <xdr:cNvSpPr>
          <a:spLocks/>
        </xdr:cNvSpPr>
      </xdr:nvSpPr>
      <xdr:spPr>
        <a:xfrm flipH="1">
          <a:off x="9353550" y="3486150"/>
          <a:ext cx="657225" cy="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30</xdr:row>
      <xdr:rowOff>95250</xdr:rowOff>
    </xdr:from>
    <xdr:to>
      <xdr:col>11</xdr:col>
      <xdr:colOff>9525</xdr:colOff>
      <xdr:row>30</xdr:row>
      <xdr:rowOff>95250</xdr:rowOff>
    </xdr:to>
    <xdr:sp>
      <xdr:nvSpPr>
        <xdr:cNvPr id="1" name="Straight Arrow Connector 1"/>
        <xdr:cNvSpPr>
          <a:spLocks/>
        </xdr:cNvSpPr>
      </xdr:nvSpPr>
      <xdr:spPr>
        <a:xfrm flipH="1" flipV="1">
          <a:off x="9105900" y="4972050"/>
          <a:ext cx="676275" cy="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19050</xdr:rowOff>
    </xdr:from>
    <xdr:to>
      <xdr:col>9</xdr:col>
      <xdr:colOff>647700</xdr:colOff>
      <xdr:row>30</xdr:row>
      <xdr:rowOff>152400</xdr:rowOff>
    </xdr:to>
    <xdr:sp>
      <xdr:nvSpPr>
        <xdr:cNvPr id="2" name="Right Brace 2"/>
        <xdr:cNvSpPr>
          <a:spLocks/>
        </xdr:cNvSpPr>
      </xdr:nvSpPr>
      <xdr:spPr>
        <a:xfrm>
          <a:off x="8401050" y="3419475"/>
          <a:ext cx="647700" cy="1609725"/>
        </a:xfrm>
        <a:prstGeom prst="rightBrace">
          <a:avLst>
            <a:gd name="adj1" fmla="val -46615"/>
            <a:gd name="adj2" fmla="val -10777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74"/>
  <sheetViews>
    <sheetView tabSelected="1" zoomScale="75" zoomScaleNormal="75" zoomScalePageLayoutView="0" workbookViewId="0" topLeftCell="A1">
      <selection activeCell="A1" sqref="A1:A2"/>
    </sheetView>
  </sheetViews>
  <sheetFormatPr defaultColWidth="9.140625" defaultRowHeight="12.75"/>
  <cols>
    <col min="1" max="1" width="14.8515625" style="0" customWidth="1"/>
    <col min="2" max="2" width="16.140625" style="1" customWidth="1"/>
    <col min="3" max="3" width="13.140625" style="3" customWidth="1"/>
    <col min="4" max="4" width="15.140625" style="4" bestFit="1" customWidth="1"/>
    <col min="5" max="5" width="15.8515625" style="3" customWidth="1"/>
    <col min="6" max="6" width="30.28125" style="3" customWidth="1"/>
    <col min="7" max="7" width="39.00390625" style="3" customWidth="1"/>
    <col min="8" max="8" width="19.00390625" style="3" customWidth="1"/>
    <col min="9" max="9" width="14.8515625" style="3" customWidth="1"/>
    <col min="10" max="10" width="21.8515625" style="5" customWidth="1"/>
    <col min="11" max="11" width="18.8515625" style="5" bestFit="1" customWidth="1"/>
    <col min="12" max="12" width="19.421875" style="3" customWidth="1"/>
    <col min="13" max="13" width="18.421875" style="3" bestFit="1" customWidth="1"/>
    <col min="14" max="14" width="14.00390625" style="3" customWidth="1"/>
    <col min="15" max="15" width="8.57421875" style="0" customWidth="1"/>
    <col min="16" max="16" width="7.57421875" style="6" customWidth="1"/>
    <col min="17" max="17" width="7.8515625" style="0" customWidth="1"/>
    <col min="18" max="18" width="9.28125" style="5" customWidth="1"/>
    <col min="19" max="20" width="11.57421875" style="5" bestFit="1" customWidth="1"/>
    <col min="21" max="21" width="11.57421875" style="5" customWidth="1"/>
    <col min="22" max="22" width="9.140625" style="5" customWidth="1"/>
    <col min="23" max="24" width="7.57421875" style="0" customWidth="1"/>
    <col min="26" max="26" width="12.8515625" style="0" customWidth="1"/>
    <col min="27" max="27" width="10.140625" style="0" customWidth="1"/>
    <col min="28" max="28" width="9.7109375" style="0" customWidth="1"/>
  </cols>
  <sheetData>
    <row r="1" spans="1:22" s="8" customFormat="1" ht="12.75">
      <c r="A1" s="8" t="s">
        <v>427</v>
      </c>
      <c r="B1" s="241"/>
      <c r="C1" s="242"/>
      <c r="D1" s="243"/>
      <c r="E1" s="242"/>
      <c r="F1" s="242"/>
      <c r="G1" s="242"/>
      <c r="H1" s="242"/>
      <c r="I1" s="242"/>
      <c r="J1" s="244"/>
      <c r="K1" s="244"/>
      <c r="L1" s="242"/>
      <c r="M1" s="242"/>
      <c r="N1" s="242"/>
      <c r="P1" s="245"/>
      <c r="R1" s="244"/>
      <c r="S1" s="244"/>
      <c r="T1" s="244"/>
      <c r="U1" s="244"/>
      <c r="V1" s="244"/>
    </row>
    <row r="2" spans="1:22" s="8" customFormat="1" ht="12.75">
      <c r="A2" s="8" t="s">
        <v>428</v>
      </c>
      <c r="B2" s="241"/>
      <c r="C2" s="242"/>
      <c r="D2" s="243"/>
      <c r="E2" s="242"/>
      <c r="F2" s="242"/>
      <c r="G2" s="242"/>
      <c r="H2" s="242"/>
      <c r="I2" s="242"/>
      <c r="J2" s="244"/>
      <c r="K2" s="244"/>
      <c r="L2" s="242"/>
      <c r="M2" s="242"/>
      <c r="N2" s="242"/>
      <c r="P2" s="245"/>
      <c r="R2" s="244"/>
      <c r="S2" s="244"/>
      <c r="T2" s="244"/>
      <c r="U2" s="244"/>
      <c r="V2" s="244"/>
    </row>
    <row r="3" spans="2:22" s="8" customFormat="1" ht="12.75">
      <c r="B3" s="241"/>
      <c r="C3" s="242"/>
      <c r="D3" s="243"/>
      <c r="E3" s="242"/>
      <c r="F3" s="242"/>
      <c r="G3" s="242"/>
      <c r="H3" s="242"/>
      <c r="I3" s="242"/>
      <c r="J3" s="244"/>
      <c r="K3" s="244"/>
      <c r="L3" s="242"/>
      <c r="M3" s="242"/>
      <c r="N3" s="242"/>
      <c r="P3" s="245"/>
      <c r="R3" s="244"/>
      <c r="S3" s="244"/>
      <c r="T3" s="244"/>
      <c r="U3" s="244"/>
      <c r="V3" s="244"/>
    </row>
    <row r="4" spans="1:22" ht="21">
      <c r="A4" s="108">
        <v>2014</v>
      </c>
      <c r="B4" s="109" t="s">
        <v>245</v>
      </c>
      <c r="C4" s="110"/>
      <c r="D4" s="110"/>
      <c r="E4" s="110"/>
      <c r="F4" s="111"/>
      <c r="G4" s="110"/>
      <c r="H4" s="111"/>
      <c r="I4" s="112" t="s">
        <v>242</v>
      </c>
      <c r="J4" s="108" t="s">
        <v>231</v>
      </c>
      <c r="K4" s="113" t="s">
        <v>240</v>
      </c>
      <c r="L4" s="178" t="s">
        <v>346</v>
      </c>
      <c r="M4" s="210" t="s">
        <v>380</v>
      </c>
      <c r="N4" s="112"/>
      <c r="P4"/>
      <c r="R4"/>
      <c r="S4"/>
      <c r="T4"/>
      <c r="U4"/>
      <c r="V4"/>
    </row>
    <row r="5" spans="1:32" s="2" customFormat="1" ht="63">
      <c r="A5" s="115" t="s">
        <v>226</v>
      </c>
      <c r="B5" s="116" t="s">
        <v>310</v>
      </c>
      <c r="C5" s="117" t="s">
        <v>2</v>
      </c>
      <c r="D5" s="117" t="s">
        <v>7</v>
      </c>
      <c r="E5" s="118" t="s">
        <v>6</v>
      </c>
      <c r="F5" s="119" t="s">
        <v>3</v>
      </c>
      <c r="G5" s="117" t="s">
        <v>229</v>
      </c>
      <c r="H5" s="118" t="s">
        <v>230</v>
      </c>
      <c r="I5" s="115" t="s">
        <v>243</v>
      </c>
      <c r="J5" s="120" t="s">
        <v>232</v>
      </c>
      <c r="K5" s="121" t="s">
        <v>241</v>
      </c>
      <c r="L5" s="178" t="s">
        <v>347</v>
      </c>
      <c r="M5" s="122"/>
      <c r="N5" s="11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22" ht="21">
      <c r="A6" s="123">
        <v>8760</v>
      </c>
      <c r="B6" s="124">
        <v>3832845</v>
      </c>
      <c r="C6" s="203">
        <v>0</v>
      </c>
      <c r="D6" s="203">
        <v>1541845</v>
      </c>
      <c r="E6" s="203">
        <v>1055978</v>
      </c>
      <c r="F6" s="125">
        <f>H44</f>
        <v>7361153</v>
      </c>
      <c r="G6" s="204">
        <v>116027434</v>
      </c>
      <c r="H6" s="187">
        <f>SUM(F6:G6)</f>
        <v>123388587</v>
      </c>
      <c r="I6" s="205">
        <v>19451</v>
      </c>
      <c r="J6" s="126">
        <f>Corona!I24</f>
        <v>93749.1528431712</v>
      </c>
      <c r="K6" s="209">
        <f>'Sta. Svc.'!P137*calc14!A6</f>
        <v>50768.054399999986</v>
      </c>
      <c r="L6" s="209">
        <f>'Sta. Svc.'!J142*calc14!A6</f>
        <v>2785.1544</v>
      </c>
      <c r="M6" s="125"/>
      <c r="N6" s="127"/>
      <c r="P6"/>
      <c r="R6"/>
      <c r="S6"/>
      <c r="T6"/>
      <c r="U6"/>
      <c r="V6"/>
    </row>
    <row r="7" spans="1:32" s="9" customFormat="1" ht="20.25">
      <c r="A7" s="124"/>
      <c r="B7" s="124" t="s">
        <v>283</v>
      </c>
      <c r="C7" s="124" t="s">
        <v>283</v>
      </c>
      <c r="D7" s="124" t="s">
        <v>283</v>
      </c>
      <c r="E7" s="124" t="s">
        <v>283</v>
      </c>
      <c r="F7" s="128" t="s">
        <v>322</v>
      </c>
      <c r="G7" s="183" t="s">
        <v>336</v>
      </c>
      <c r="H7" s="124" t="s">
        <v>74</v>
      </c>
      <c r="I7" s="124"/>
      <c r="J7" s="124"/>
      <c r="K7" s="124"/>
      <c r="L7" s="129"/>
      <c r="M7" s="129"/>
      <c r="N7" s="129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22" ht="20.25">
      <c r="A8" s="129"/>
      <c r="B8" s="124"/>
      <c r="C8" s="124" t="s">
        <v>8</v>
      </c>
      <c r="D8" s="124"/>
      <c r="E8" s="124"/>
      <c r="F8" s="129"/>
      <c r="G8" s="186" t="s">
        <v>337</v>
      </c>
      <c r="H8" s="124"/>
      <c r="I8" s="114"/>
      <c r="J8" s="129"/>
      <c r="K8" s="129"/>
      <c r="L8" s="129"/>
      <c r="M8" s="114"/>
      <c r="N8" s="129"/>
      <c r="P8"/>
      <c r="R8"/>
      <c r="S8"/>
      <c r="T8"/>
      <c r="U8"/>
      <c r="V8"/>
    </row>
    <row r="9" spans="1:22" ht="21" thickBot="1">
      <c r="A9" s="127" t="s">
        <v>352</v>
      </c>
      <c r="B9" s="130"/>
      <c r="C9" s="129"/>
      <c r="D9" s="129"/>
      <c r="E9" s="129"/>
      <c r="F9" s="129"/>
      <c r="G9" s="114"/>
      <c r="H9" s="114"/>
      <c r="I9" s="131"/>
      <c r="J9" s="129"/>
      <c r="K9" s="129"/>
      <c r="L9" s="129"/>
      <c r="M9" s="129"/>
      <c r="N9" s="129"/>
      <c r="P9"/>
      <c r="R9"/>
      <c r="S9"/>
      <c r="T9"/>
      <c r="U9"/>
      <c r="V9"/>
    </row>
    <row r="10" spans="1:22" ht="21" thickBot="1">
      <c r="A10" s="129"/>
      <c r="B10" s="132" t="s">
        <v>341</v>
      </c>
      <c r="C10" s="133"/>
      <c r="D10" s="133"/>
      <c r="E10" s="134"/>
      <c r="F10" s="134"/>
      <c r="G10" s="134"/>
      <c r="H10" s="134"/>
      <c r="I10" s="128"/>
      <c r="J10" s="135" t="s">
        <v>249</v>
      </c>
      <c r="K10" s="136" t="s">
        <v>250</v>
      </c>
      <c r="L10" s="136" t="s">
        <v>259</v>
      </c>
      <c r="M10" s="136" t="s">
        <v>261</v>
      </c>
      <c r="N10" s="137" t="s">
        <v>251</v>
      </c>
      <c r="P10" s="5"/>
      <c r="Q10" s="5"/>
      <c r="U10"/>
      <c r="V10"/>
    </row>
    <row r="11" spans="1:16" ht="21">
      <c r="A11" s="129"/>
      <c r="B11" s="138" t="s">
        <v>9</v>
      </c>
      <c r="C11" s="139" t="s">
        <v>5</v>
      </c>
      <c r="D11" s="139" t="s">
        <v>10</v>
      </c>
      <c r="E11" s="140" t="s">
        <v>11</v>
      </c>
      <c r="F11" s="140" t="s">
        <v>12</v>
      </c>
      <c r="G11" s="140" t="s">
        <v>13</v>
      </c>
      <c r="H11" s="141" t="s">
        <v>14</v>
      </c>
      <c r="I11" s="114"/>
      <c r="J11" s="135" t="s">
        <v>229</v>
      </c>
      <c r="K11" s="124">
        <v>111655211</v>
      </c>
      <c r="L11" s="142">
        <f>G6</f>
        <v>116027434</v>
      </c>
      <c r="M11" s="142">
        <f>L11-K11</f>
        <v>4372223</v>
      </c>
      <c r="N11" s="143">
        <f aca="true" t="shared" si="0" ref="N11:N16">M11/K11</f>
        <v>0.039158252990091076</v>
      </c>
      <c r="P11" s="107"/>
    </row>
    <row r="12" spans="1:14" ht="21">
      <c r="A12" s="129"/>
      <c r="B12" s="144" t="s">
        <v>15</v>
      </c>
      <c r="C12" s="124">
        <v>17387</v>
      </c>
      <c r="D12" s="124">
        <v>121211</v>
      </c>
      <c r="E12" s="124">
        <v>13567</v>
      </c>
      <c r="F12" s="124">
        <v>32437</v>
      </c>
      <c r="G12" s="145">
        <v>184602</v>
      </c>
      <c r="H12" s="146">
        <f>G12-F12</f>
        <v>152165</v>
      </c>
      <c r="I12" s="114"/>
      <c r="J12" s="135" t="s">
        <v>277</v>
      </c>
      <c r="K12" s="124">
        <v>4627779</v>
      </c>
      <c r="L12" s="142">
        <f>D6</f>
        <v>1541845</v>
      </c>
      <c r="M12" s="142">
        <f aca="true" t="shared" si="1" ref="M12:M21">L12-K12</f>
        <v>-3085934</v>
      </c>
      <c r="N12" s="147">
        <f t="shared" si="0"/>
        <v>-0.6668282992770398</v>
      </c>
    </row>
    <row r="13" spans="1:14" ht="21">
      <c r="A13" s="129"/>
      <c r="B13" s="144" t="s">
        <v>16</v>
      </c>
      <c r="C13" s="124">
        <v>15744</v>
      </c>
      <c r="D13" s="124">
        <v>112883</v>
      </c>
      <c r="E13" s="124">
        <v>12544</v>
      </c>
      <c r="F13" s="124">
        <v>30312</v>
      </c>
      <c r="G13" s="145">
        <v>171482</v>
      </c>
      <c r="H13" s="146">
        <f aca="true" t="shared" si="2" ref="H13:H23">G13-F13</f>
        <v>141170</v>
      </c>
      <c r="I13" s="114"/>
      <c r="J13" s="135" t="s">
        <v>6</v>
      </c>
      <c r="K13" s="124">
        <v>1282825</v>
      </c>
      <c r="L13" s="142">
        <f>E6</f>
        <v>1055978</v>
      </c>
      <c r="M13" s="142">
        <f t="shared" si="1"/>
        <v>-226847</v>
      </c>
      <c r="N13" s="147">
        <f t="shared" si="0"/>
        <v>-0.17683394071677744</v>
      </c>
    </row>
    <row r="14" spans="1:14" ht="21">
      <c r="A14" s="129"/>
      <c r="B14" s="144" t="s">
        <v>17</v>
      </c>
      <c r="C14" s="124">
        <v>17265</v>
      </c>
      <c r="D14" s="124">
        <v>106613</v>
      </c>
      <c r="E14" s="124">
        <v>13395</v>
      </c>
      <c r="F14" s="124">
        <v>32473</v>
      </c>
      <c r="G14" s="145">
        <v>169746</v>
      </c>
      <c r="H14" s="146">
        <f t="shared" si="2"/>
        <v>137273</v>
      </c>
      <c r="I14" s="114"/>
      <c r="J14" s="135" t="s">
        <v>227</v>
      </c>
      <c r="K14" s="124">
        <v>9486766</v>
      </c>
      <c r="L14" s="142">
        <f>F6</f>
        <v>7361153</v>
      </c>
      <c r="M14" s="142">
        <f t="shared" si="1"/>
        <v>-2125613</v>
      </c>
      <c r="N14" s="147">
        <f t="shared" si="0"/>
        <v>-0.2240608654203129</v>
      </c>
    </row>
    <row r="15" spans="1:14" ht="21">
      <c r="A15" s="129"/>
      <c r="B15" s="144" t="s">
        <v>18</v>
      </c>
      <c r="C15" s="124">
        <v>18101</v>
      </c>
      <c r="D15" s="124">
        <v>129407</v>
      </c>
      <c r="E15" s="124">
        <v>14021</v>
      </c>
      <c r="F15" s="124">
        <v>35283</v>
      </c>
      <c r="G15" s="145">
        <v>196812</v>
      </c>
      <c r="H15" s="146">
        <f t="shared" si="2"/>
        <v>161529</v>
      </c>
      <c r="I15" s="114"/>
      <c r="J15" s="135" t="s">
        <v>252</v>
      </c>
      <c r="K15" s="124">
        <v>17600</v>
      </c>
      <c r="L15" s="142">
        <v>19451</v>
      </c>
      <c r="M15" s="142">
        <f t="shared" si="1"/>
        <v>1851</v>
      </c>
      <c r="N15" s="147">
        <f t="shared" si="0"/>
        <v>0.10517045454545454</v>
      </c>
    </row>
    <row r="16" spans="1:14" ht="21">
      <c r="A16" s="129"/>
      <c r="B16" s="144" t="s">
        <v>19</v>
      </c>
      <c r="C16" s="124">
        <v>20712</v>
      </c>
      <c r="D16" s="124">
        <v>163423</v>
      </c>
      <c r="E16" s="124">
        <v>15098</v>
      </c>
      <c r="F16" s="124">
        <v>40338</v>
      </c>
      <c r="G16" s="145">
        <v>239571</v>
      </c>
      <c r="H16" s="146">
        <f t="shared" si="2"/>
        <v>199233</v>
      </c>
      <c r="I16" s="114"/>
      <c r="J16" s="117" t="s">
        <v>2</v>
      </c>
      <c r="K16" s="124">
        <v>86175</v>
      </c>
      <c r="L16" s="142">
        <f>C6</f>
        <v>0</v>
      </c>
      <c r="M16" s="142">
        <f t="shared" si="1"/>
        <v>-86175</v>
      </c>
      <c r="N16" s="147">
        <f t="shared" si="0"/>
        <v>-1</v>
      </c>
    </row>
    <row r="17" spans="1:14" ht="21">
      <c r="A17" s="129"/>
      <c r="B17" s="144" t="s">
        <v>20</v>
      </c>
      <c r="C17" s="124">
        <v>19867</v>
      </c>
      <c r="D17" s="124">
        <v>190690</v>
      </c>
      <c r="E17" s="124">
        <v>14885</v>
      </c>
      <c r="F17" s="124">
        <v>40170</v>
      </c>
      <c r="G17" s="145">
        <v>265612</v>
      </c>
      <c r="H17" s="146">
        <f t="shared" si="2"/>
        <v>225442</v>
      </c>
      <c r="I17" s="114"/>
      <c r="J17" s="116" t="s">
        <v>310</v>
      </c>
      <c r="K17" s="124">
        <v>1202149</v>
      </c>
      <c r="L17" s="148">
        <f>B6</f>
        <v>3832845</v>
      </c>
      <c r="M17" s="142">
        <f t="shared" si="1"/>
        <v>2630696</v>
      </c>
      <c r="N17" s="147">
        <f>M17/K17</f>
        <v>2.188327736412042</v>
      </c>
    </row>
    <row r="18" spans="1:14" ht="21">
      <c r="A18" s="129"/>
      <c r="B18" s="144" t="s">
        <v>21</v>
      </c>
      <c r="C18" s="124">
        <v>21450</v>
      </c>
      <c r="D18" s="124">
        <v>194183</v>
      </c>
      <c r="E18" s="124">
        <v>15386</v>
      </c>
      <c r="F18" s="124">
        <v>43625</v>
      </c>
      <c r="G18" s="145">
        <v>274644</v>
      </c>
      <c r="H18" s="146">
        <f t="shared" si="2"/>
        <v>231019</v>
      </c>
      <c r="I18" s="114"/>
      <c r="J18" s="135" t="s">
        <v>253</v>
      </c>
      <c r="K18" s="149">
        <v>2320341.0498471074</v>
      </c>
      <c r="L18" s="142">
        <f>E29</f>
        <v>2362248.207243171</v>
      </c>
      <c r="M18" s="142">
        <f>L18-K18</f>
        <v>41907.157396063674</v>
      </c>
      <c r="N18" s="147">
        <f aca="true" t="shared" si="3" ref="N18:N23">M18/K18</f>
        <v>0.01806077490152796</v>
      </c>
    </row>
    <row r="19" spans="1:28" ht="21">
      <c r="A19" s="129"/>
      <c r="B19" s="144" t="s">
        <v>22</v>
      </c>
      <c r="C19" s="124">
        <v>22691</v>
      </c>
      <c r="D19" s="124">
        <v>215385</v>
      </c>
      <c r="E19" s="124">
        <v>16066</v>
      </c>
      <c r="F19" s="124">
        <v>47649</v>
      </c>
      <c r="G19" s="145">
        <v>301790</v>
      </c>
      <c r="H19" s="146">
        <f t="shared" si="2"/>
        <v>254141</v>
      </c>
      <c r="I19" s="114"/>
      <c r="J19" s="135" t="s">
        <v>254</v>
      </c>
      <c r="K19" s="149">
        <v>447744.55439999996</v>
      </c>
      <c r="L19" s="142">
        <f>F26</f>
        <v>449574.1544</v>
      </c>
      <c r="M19" s="142">
        <f>L19-K19</f>
        <v>1829.600000000035</v>
      </c>
      <c r="N19" s="147">
        <f t="shared" si="3"/>
        <v>0.004086258519552047</v>
      </c>
      <c r="Z19" s="79"/>
      <c r="AA19" s="66"/>
      <c r="AB19" s="67"/>
    </row>
    <row r="20" spans="1:14" ht="21">
      <c r="A20" s="129"/>
      <c r="B20" s="144" t="s">
        <v>23</v>
      </c>
      <c r="C20" s="124">
        <v>20471</v>
      </c>
      <c r="D20" s="124">
        <v>178572</v>
      </c>
      <c r="E20" s="124">
        <v>15062</v>
      </c>
      <c r="F20" s="124">
        <v>41508</v>
      </c>
      <c r="G20" s="145">
        <v>255613</v>
      </c>
      <c r="H20" s="146">
        <f t="shared" si="2"/>
        <v>214105</v>
      </c>
      <c r="I20" s="114"/>
      <c r="J20" s="135" t="s">
        <v>256</v>
      </c>
      <c r="K20" s="149">
        <v>3722953.447</v>
      </c>
      <c r="L20" s="150">
        <v>7185763</v>
      </c>
      <c r="M20" s="142">
        <f t="shared" si="1"/>
        <v>3462809.553</v>
      </c>
      <c r="N20" s="143">
        <f t="shared" si="3"/>
        <v>0.9301243226101504</v>
      </c>
    </row>
    <row r="21" spans="1:14" ht="21">
      <c r="A21" s="129"/>
      <c r="B21" s="144" t="s">
        <v>24</v>
      </c>
      <c r="C21" s="124">
        <v>20182</v>
      </c>
      <c r="D21" s="124">
        <v>161093</v>
      </c>
      <c r="E21" s="124">
        <v>14991</v>
      </c>
      <c r="F21" s="124">
        <v>39640</v>
      </c>
      <c r="G21" s="145">
        <v>235905</v>
      </c>
      <c r="H21" s="146">
        <f t="shared" si="2"/>
        <v>196265</v>
      </c>
      <c r="I21" s="114"/>
      <c r="J21" s="135" t="s">
        <v>257</v>
      </c>
      <c r="K21" s="149">
        <v>636954</v>
      </c>
      <c r="L21" s="150">
        <f>'Distr. Letter'!I19</f>
        <v>623574</v>
      </c>
      <c r="M21" s="142">
        <f t="shared" si="1"/>
        <v>-13380</v>
      </c>
      <c r="N21" s="202">
        <f t="shared" si="3"/>
        <v>-0.021006226509292666</v>
      </c>
    </row>
    <row r="22" spans="1:14" ht="20.25">
      <c r="A22" s="129"/>
      <c r="B22" s="144" t="s">
        <v>25</v>
      </c>
      <c r="C22" s="124">
        <v>16649</v>
      </c>
      <c r="D22" s="124">
        <v>122399</v>
      </c>
      <c r="E22" s="124">
        <v>13162</v>
      </c>
      <c r="F22" s="124">
        <v>31294</v>
      </c>
      <c r="G22" s="145">
        <v>183505</v>
      </c>
      <c r="H22" s="146">
        <f t="shared" si="2"/>
        <v>152211</v>
      </c>
      <c r="I22" s="184" t="s">
        <v>260</v>
      </c>
      <c r="J22" s="185" t="s">
        <v>258</v>
      </c>
      <c r="K22" s="149">
        <v>105611916.50315289</v>
      </c>
      <c r="L22" s="150">
        <f>'Distr. Letter'!I15</f>
        <v>106479422.79275683</v>
      </c>
      <c r="M22" s="142">
        <f>L22-K22</f>
        <v>867506.2896039337</v>
      </c>
      <c r="N22" s="143">
        <f t="shared" si="3"/>
        <v>0.008214094756797975</v>
      </c>
    </row>
    <row r="23" spans="1:14" ht="21">
      <c r="A23" s="129"/>
      <c r="B23" s="144" t="s">
        <v>26</v>
      </c>
      <c r="C23" s="124">
        <v>17664</v>
      </c>
      <c r="D23" s="124">
        <v>121565</v>
      </c>
      <c r="E23" s="124">
        <v>13947</v>
      </c>
      <c r="F23" s="124">
        <v>32060</v>
      </c>
      <c r="G23" s="145">
        <v>185236</v>
      </c>
      <c r="H23" s="146">
        <f t="shared" si="2"/>
        <v>153176</v>
      </c>
      <c r="I23" s="151" t="s">
        <v>275</v>
      </c>
      <c r="J23" s="128"/>
      <c r="K23" s="124">
        <v>2768085.604247107</v>
      </c>
      <c r="L23" s="142">
        <f>G26</f>
        <v>2811822.361643171</v>
      </c>
      <c r="M23" s="142">
        <f>L23-K23</f>
        <v>43736.75739606377</v>
      </c>
      <c r="N23" s="147">
        <f t="shared" si="3"/>
        <v>0.01580036301224136</v>
      </c>
    </row>
    <row r="24" spans="1:14" ht="21" thickBot="1">
      <c r="A24" s="129"/>
      <c r="B24" s="152" t="s">
        <v>13</v>
      </c>
      <c r="C24" s="153">
        <f aca="true" t="shared" si="4" ref="C24:H24">SUM(C12:C23)</f>
        <v>228183</v>
      </c>
      <c r="D24" s="153">
        <f t="shared" si="4"/>
        <v>1817424</v>
      </c>
      <c r="E24" s="153">
        <f t="shared" si="4"/>
        <v>172124</v>
      </c>
      <c r="F24" s="153">
        <f t="shared" si="4"/>
        <v>446789</v>
      </c>
      <c r="G24" s="154">
        <f t="shared" si="4"/>
        <v>2664518</v>
      </c>
      <c r="H24" s="155">
        <f t="shared" si="4"/>
        <v>2217729</v>
      </c>
      <c r="I24" s="114"/>
      <c r="J24" s="128"/>
      <c r="K24" s="128"/>
      <c r="L24" s="114"/>
      <c r="M24" s="129"/>
      <c r="N24" s="114"/>
    </row>
    <row r="25" spans="1:19" ht="21">
      <c r="A25" s="189" t="s">
        <v>357</v>
      </c>
      <c r="B25" s="130"/>
      <c r="C25" s="190" t="s">
        <v>5</v>
      </c>
      <c r="D25" s="190" t="s">
        <v>10</v>
      </c>
      <c r="E25" s="191" t="s">
        <v>11</v>
      </c>
      <c r="F25" s="191" t="s">
        <v>12</v>
      </c>
      <c r="G25" s="192" t="s">
        <v>356</v>
      </c>
      <c r="H25" s="124"/>
      <c r="I25" s="198" t="s">
        <v>285</v>
      </c>
      <c r="J25" s="157"/>
      <c r="K25" s="124">
        <v>101987156</v>
      </c>
      <c r="L25" s="203">
        <v>107498092</v>
      </c>
      <c r="M25" s="142">
        <f>L25-K25</f>
        <v>5510936</v>
      </c>
      <c r="N25" s="147">
        <f>M25/K25</f>
        <v>0.05403558855979865</v>
      </c>
      <c r="S25" s="5">
        <v>3</v>
      </c>
    </row>
    <row r="26" spans="1:14" ht="21">
      <c r="A26" s="156"/>
      <c r="B26" s="114"/>
      <c r="C26" s="127">
        <f>C24</f>
        <v>228183</v>
      </c>
      <c r="D26" s="127">
        <f>D24+J6</f>
        <v>1911173.1528431713</v>
      </c>
      <c r="E26" s="127">
        <f>E24+K6</f>
        <v>222892.0544</v>
      </c>
      <c r="F26" s="127">
        <f>F24+L6</f>
        <v>449574.1544</v>
      </c>
      <c r="G26" s="188">
        <f>SUM(C26:F26)</f>
        <v>2811822.361643171</v>
      </c>
      <c r="H26" s="114"/>
      <c r="I26" s="199" t="s">
        <v>248</v>
      </c>
      <c r="J26" s="157"/>
      <c r="K26" s="124">
        <v>2899402</v>
      </c>
      <c r="L26" s="124">
        <v>3296907</v>
      </c>
      <c r="M26" s="142">
        <f>L26-K26</f>
        <v>397505</v>
      </c>
      <c r="N26" s="147">
        <f>M26/K26</f>
        <v>0.13709896040631828</v>
      </c>
    </row>
    <row r="27" spans="1:14" ht="21">
      <c r="A27" s="127"/>
      <c r="B27" s="130"/>
      <c r="C27" s="114"/>
      <c r="D27" s="182" t="s">
        <v>355</v>
      </c>
      <c r="E27" s="114" t="s">
        <v>354</v>
      </c>
      <c r="F27" s="114" t="s">
        <v>353</v>
      </c>
      <c r="G27" s="158" t="s">
        <v>335</v>
      </c>
      <c r="H27" s="142"/>
      <c r="I27" s="128" t="s">
        <v>286</v>
      </c>
      <c r="J27" s="128" t="s">
        <v>274</v>
      </c>
      <c r="K27" s="162">
        <v>3113757</v>
      </c>
      <c r="L27" s="162">
        <v>3535452</v>
      </c>
      <c r="M27" s="142">
        <f>L27-K27</f>
        <v>421695</v>
      </c>
      <c r="N27" s="147">
        <f>M27/K27</f>
        <v>0.1354296433536721</v>
      </c>
    </row>
    <row r="28" spans="1:14" ht="20.25">
      <c r="A28" s="130"/>
      <c r="B28" s="114"/>
      <c r="C28" s="160"/>
      <c r="D28" s="114"/>
      <c r="E28" s="114"/>
      <c r="F28" s="114"/>
      <c r="G28" s="161"/>
      <c r="H28" s="114"/>
      <c r="I28" s="114" t="s">
        <v>286</v>
      </c>
      <c r="J28" s="128" t="s">
        <v>287</v>
      </c>
      <c r="K28" s="162">
        <v>4660148</v>
      </c>
      <c r="L28" s="162">
        <v>3066387</v>
      </c>
      <c r="M28" s="142">
        <f>L28-K28</f>
        <v>-1593761</v>
      </c>
      <c r="N28" s="143">
        <f>M28/K28</f>
        <v>-0.3419979365462213</v>
      </c>
    </row>
    <row r="29" spans="1:14" ht="21">
      <c r="A29" s="163" t="s">
        <v>228</v>
      </c>
      <c r="B29" s="164"/>
      <c r="C29" s="165"/>
      <c r="D29" s="166"/>
      <c r="E29" s="167">
        <f>SUM(C26:E26)</f>
        <v>2362248.207243171</v>
      </c>
      <c r="F29" s="114"/>
      <c r="G29" s="124"/>
      <c r="H29" s="168"/>
      <c r="I29" s="201" t="s">
        <v>363</v>
      </c>
      <c r="J29" s="157"/>
      <c r="K29" s="142">
        <v>102341128</v>
      </c>
      <c r="L29" s="142">
        <f>SUM(L25:L26)</f>
        <v>110794999</v>
      </c>
      <c r="M29" s="142">
        <f>L29-K29</f>
        <v>8453871</v>
      </c>
      <c r="N29" s="143">
        <f>M29/K29</f>
        <v>0.08260482530542364</v>
      </c>
    </row>
    <row r="30" spans="1:14" ht="21">
      <c r="A30" s="169" t="s">
        <v>225</v>
      </c>
      <c r="B30" s="170"/>
      <c r="C30" s="171"/>
      <c r="D30" s="170"/>
      <c r="E30" s="114" t="s">
        <v>284</v>
      </c>
      <c r="F30" s="114"/>
      <c r="G30" s="114"/>
      <c r="H30" s="168"/>
      <c r="I30" s="151"/>
      <c r="J30" s="128"/>
      <c r="K30" s="124" t="s">
        <v>8</v>
      </c>
      <c r="L30" s="197" t="s">
        <v>359</v>
      </c>
      <c r="M30" s="159"/>
      <c r="N30" s="114"/>
    </row>
    <row r="31" spans="1:14" ht="20.25">
      <c r="A31" s="129"/>
      <c r="B31" s="130"/>
      <c r="C31" s="114"/>
      <c r="D31" s="160"/>
      <c r="E31" s="114"/>
      <c r="F31" s="114"/>
      <c r="G31" s="114"/>
      <c r="H31" s="114" t="s">
        <v>322</v>
      </c>
      <c r="I31" s="234" t="s">
        <v>400</v>
      </c>
      <c r="J31" s="128"/>
      <c r="K31" s="124"/>
      <c r="L31" s="114"/>
      <c r="M31" s="114"/>
      <c r="N31" s="147"/>
    </row>
    <row r="32" spans="1:14" ht="21">
      <c r="A32" s="163" t="s">
        <v>246</v>
      </c>
      <c r="B32" s="164"/>
      <c r="C32" s="165"/>
      <c r="D32" s="160"/>
      <c r="E32" s="172">
        <f>F26</f>
        <v>449574.1544</v>
      </c>
      <c r="F32" s="114"/>
      <c r="G32" s="196" t="s">
        <v>7</v>
      </c>
      <c r="H32" s="203">
        <v>2282100</v>
      </c>
      <c r="I32" s="235" t="s">
        <v>401</v>
      </c>
      <c r="J32" s="128"/>
      <c r="K32" s="128"/>
      <c r="L32" s="124"/>
      <c r="M32" s="114"/>
      <c r="N32" s="147"/>
    </row>
    <row r="33" spans="1:14" ht="21">
      <c r="A33" s="173" t="s">
        <v>247</v>
      </c>
      <c r="B33" s="130"/>
      <c r="C33" s="114"/>
      <c r="D33" s="160"/>
      <c r="E33" s="114" t="s">
        <v>76</v>
      </c>
      <c r="F33" s="124"/>
      <c r="G33" s="196" t="s">
        <v>323</v>
      </c>
      <c r="H33" s="203">
        <f>101240+485736</f>
        <v>586976</v>
      </c>
      <c r="I33" s="235" t="s">
        <v>401</v>
      </c>
      <c r="J33" s="128"/>
      <c r="K33" s="142"/>
      <c r="L33" s="124"/>
      <c r="M33" s="114"/>
      <c r="N33" s="147"/>
    </row>
    <row r="34" spans="1:14" ht="20.25">
      <c r="A34" s="129"/>
      <c r="B34" s="114"/>
      <c r="C34" s="114"/>
      <c r="D34" s="160"/>
      <c r="E34" s="114"/>
      <c r="F34" s="124"/>
      <c r="G34" s="196" t="s">
        <v>324</v>
      </c>
      <c r="H34" s="203">
        <f>2455740+29915</f>
        <v>2485655</v>
      </c>
      <c r="I34" s="235" t="s">
        <v>401</v>
      </c>
      <c r="J34" s="124"/>
      <c r="K34" s="128"/>
      <c r="L34" s="124"/>
      <c r="M34" s="114"/>
      <c r="N34" s="147"/>
    </row>
    <row r="35" spans="1:14" ht="20.25">
      <c r="A35" s="129"/>
      <c r="B35" s="114"/>
      <c r="C35" s="114"/>
      <c r="D35" s="160"/>
      <c r="E35" s="114"/>
      <c r="F35" s="124"/>
      <c r="G35" s="196" t="s">
        <v>325</v>
      </c>
      <c r="H35" s="203">
        <v>753930</v>
      </c>
      <c r="I35" s="235" t="s">
        <v>401</v>
      </c>
      <c r="J35" s="124"/>
      <c r="K35" s="128"/>
      <c r="L35" s="124"/>
      <c r="M35" s="114"/>
      <c r="N35" s="147"/>
    </row>
    <row r="36" spans="1:14" ht="20.25">
      <c r="A36" s="193" t="s">
        <v>288</v>
      </c>
      <c r="B36" s="194">
        <f>+(C26/L29)</f>
        <v>0.0020595063139988838</v>
      </c>
      <c r="C36" s="114"/>
      <c r="D36" s="160"/>
      <c r="E36" s="114"/>
      <c r="F36" s="124"/>
      <c r="G36" s="196" t="s">
        <v>327</v>
      </c>
      <c r="H36" s="203">
        <v>18664</v>
      </c>
      <c r="I36" s="235" t="s">
        <v>401</v>
      </c>
      <c r="J36" s="124"/>
      <c r="K36" s="128"/>
      <c r="L36" s="124"/>
      <c r="M36" s="114"/>
      <c r="N36" s="147"/>
    </row>
    <row r="37" spans="1:14" ht="20.25">
      <c r="A37" s="114"/>
      <c r="B37" s="195" t="s">
        <v>73</v>
      </c>
      <c r="C37" s="114"/>
      <c r="D37" s="160"/>
      <c r="E37" s="114"/>
      <c r="F37" s="124"/>
      <c r="G37" s="196" t="s">
        <v>329</v>
      </c>
      <c r="H37" s="203">
        <v>193026</v>
      </c>
      <c r="I37" s="235" t="s">
        <v>401</v>
      </c>
      <c r="J37" s="124"/>
      <c r="K37" s="128"/>
      <c r="L37" s="124"/>
      <c r="M37" s="114"/>
      <c r="N37" s="147"/>
    </row>
    <row r="38" spans="1:14" ht="20.25">
      <c r="A38" s="129"/>
      <c r="B38" s="130"/>
      <c r="C38" s="114"/>
      <c r="D38" s="160"/>
      <c r="E38" s="114"/>
      <c r="F38" s="124"/>
      <c r="G38" s="196" t="s">
        <v>328</v>
      </c>
      <c r="H38" s="203">
        <v>80622</v>
      </c>
      <c r="I38" s="235" t="s">
        <v>401</v>
      </c>
      <c r="J38" s="124"/>
      <c r="K38" s="128"/>
      <c r="L38" s="124"/>
      <c r="M38" s="114"/>
      <c r="N38" s="147"/>
    </row>
    <row r="39" spans="1:14" ht="20.25">
      <c r="A39" s="129"/>
      <c r="B39" s="130"/>
      <c r="C39" s="114"/>
      <c r="D39" s="160"/>
      <c r="E39" s="114"/>
      <c r="F39" s="124"/>
      <c r="G39" s="196" t="s">
        <v>330</v>
      </c>
      <c r="H39" s="203">
        <v>12808</v>
      </c>
      <c r="I39" s="235" t="s">
        <v>401</v>
      </c>
      <c r="J39" s="124"/>
      <c r="K39" s="128"/>
      <c r="L39" s="124"/>
      <c r="M39" s="114"/>
      <c r="N39" s="147"/>
    </row>
    <row r="40" spans="1:14" ht="20.25">
      <c r="A40" s="129"/>
      <c r="B40" s="130"/>
      <c r="C40" s="114"/>
      <c r="D40" s="160"/>
      <c r="E40" s="114"/>
      <c r="F40" s="124"/>
      <c r="G40" s="196" t="s">
        <v>331</v>
      </c>
      <c r="H40" s="203">
        <v>56543</v>
      </c>
      <c r="I40" s="235" t="s">
        <v>401</v>
      </c>
      <c r="J40" s="124"/>
      <c r="K40" s="128"/>
      <c r="L40" s="124"/>
      <c r="M40" s="114"/>
      <c r="N40" s="147"/>
    </row>
    <row r="41" spans="1:14" ht="20.25">
      <c r="A41" s="129"/>
      <c r="B41" s="130"/>
      <c r="C41" s="114"/>
      <c r="D41" s="160"/>
      <c r="E41" s="114"/>
      <c r="F41" s="124"/>
      <c r="G41" s="196" t="s">
        <v>358</v>
      </c>
      <c r="H41" s="203">
        <v>61704</v>
      </c>
      <c r="I41" s="235" t="s">
        <v>401</v>
      </c>
      <c r="J41" s="124"/>
      <c r="K41" s="128"/>
      <c r="L41" s="124"/>
      <c r="M41" s="114"/>
      <c r="N41" s="147"/>
    </row>
    <row r="42" spans="1:14" ht="20.25">
      <c r="A42" s="129"/>
      <c r="B42" s="130"/>
      <c r="C42" s="114"/>
      <c r="D42" s="160"/>
      <c r="E42" s="114"/>
      <c r="F42" s="124"/>
      <c r="G42" s="196" t="s">
        <v>367</v>
      </c>
      <c r="H42" s="203">
        <v>454102</v>
      </c>
      <c r="I42" s="235" t="s">
        <v>401</v>
      </c>
      <c r="J42" s="124"/>
      <c r="K42" s="128"/>
      <c r="L42" s="124"/>
      <c r="M42" s="114"/>
      <c r="N42" s="147"/>
    </row>
    <row r="43" spans="1:14" ht="20.25">
      <c r="A43" s="129"/>
      <c r="B43" s="130"/>
      <c r="C43" s="114"/>
      <c r="D43" s="160"/>
      <c r="E43" s="114"/>
      <c r="F43" s="124"/>
      <c r="G43" s="196" t="s">
        <v>368</v>
      </c>
      <c r="H43" s="203">
        <v>375023</v>
      </c>
      <c r="I43" s="235" t="s">
        <v>401</v>
      </c>
      <c r="J43" s="128"/>
      <c r="K43" s="128"/>
      <c r="L43" s="124"/>
      <c r="M43" s="114"/>
      <c r="N43" s="147"/>
    </row>
    <row r="44" spans="1:14" ht="21">
      <c r="A44" s="129"/>
      <c r="B44" s="130"/>
      <c r="C44" s="114"/>
      <c r="D44" s="160"/>
      <c r="E44" s="114"/>
      <c r="F44" s="124"/>
      <c r="G44" s="151" t="s">
        <v>314</v>
      </c>
      <c r="H44" s="174">
        <f>SUM(H32:H43)</f>
        <v>7361153</v>
      </c>
      <c r="I44" s="206"/>
      <c r="J44" s="174"/>
      <c r="K44" s="124"/>
      <c r="L44" s="124"/>
      <c r="M44" s="114"/>
      <c r="N44" s="147"/>
    </row>
    <row r="45" spans="1:14" ht="21">
      <c r="A45" s="129"/>
      <c r="B45" s="130"/>
      <c r="C45" s="114"/>
      <c r="D45" s="160"/>
      <c r="E45" s="114"/>
      <c r="F45" s="124"/>
      <c r="I45" s="207"/>
      <c r="J45" s="174"/>
      <c r="K45" s="114"/>
      <c r="L45" s="124"/>
      <c r="M45" s="114"/>
      <c r="N45" s="114"/>
    </row>
    <row r="46" spans="3:14" ht="21">
      <c r="C46" s="170"/>
      <c r="D46" s="160"/>
      <c r="E46" s="114"/>
      <c r="F46" s="175"/>
      <c r="I46" s="151"/>
      <c r="J46" s="128"/>
      <c r="K46" s="114"/>
      <c r="L46" s="124"/>
      <c r="M46" s="114"/>
      <c r="N46" s="114"/>
    </row>
    <row r="47" spans="3:14" ht="21">
      <c r="C47" s="114"/>
      <c r="D47" s="160"/>
      <c r="E47" s="114"/>
      <c r="F47" s="114"/>
      <c r="G47" s="151"/>
      <c r="H47" s="174"/>
      <c r="I47" s="151"/>
      <c r="J47" s="128"/>
      <c r="K47" s="114"/>
      <c r="L47" s="124"/>
      <c r="M47" s="114"/>
      <c r="N47" s="114"/>
    </row>
    <row r="48" spans="1:14" ht="21">
      <c r="A48" s="129"/>
      <c r="B48" s="130"/>
      <c r="C48" s="114"/>
      <c r="D48" s="160"/>
      <c r="E48" s="114"/>
      <c r="F48" s="114"/>
      <c r="G48" s="151"/>
      <c r="H48" s="168"/>
      <c r="I48" s="151"/>
      <c r="J48" s="128"/>
      <c r="K48" s="128"/>
      <c r="L48" s="124"/>
      <c r="M48" s="124"/>
      <c r="N48" s="114"/>
    </row>
    <row r="49" spans="1:14" ht="21">
      <c r="A49" s="129"/>
      <c r="B49" s="130"/>
      <c r="C49" s="114"/>
      <c r="D49" s="176"/>
      <c r="E49" s="114"/>
      <c r="F49" s="114"/>
      <c r="G49" s="151"/>
      <c r="H49" s="124"/>
      <c r="I49" s="151"/>
      <c r="J49" s="128"/>
      <c r="K49" s="128"/>
      <c r="L49" s="114"/>
      <c r="M49" s="114"/>
      <c r="N49" s="114"/>
    </row>
    <row r="50" spans="1:14" ht="21">
      <c r="A50" s="129"/>
      <c r="B50" s="130"/>
      <c r="C50" s="114"/>
      <c r="D50" s="160"/>
      <c r="E50" s="114"/>
      <c r="F50" s="114"/>
      <c r="G50" s="114"/>
      <c r="H50" s="168"/>
      <c r="I50" s="114"/>
      <c r="J50" s="128"/>
      <c r="K50" s="128"/>
      <c r="L50" s="124"/>
      <c r="M50" s="114"/>
      <c r="N50" s="114"/>
    </row>
    <row r="51" spans="1:12" ht="21">
      <c r="A51" s="129"/>
      <c r="B51" s="156" t="s">
        <v>316</v>
      </c>
      <c r="C51" s="114"/>
      <c r="D51" s="160"/>
      <c r="E51" s="114"/>
      <c r="F51" s="114"/>
      <c r="G51" s="114"/>
      <c r="H51" s="177"/>
      <c r="L51" s="9"/>
    </row>
    <row r="52" spans="7:12" ht="21">
      <c r="G52" s="114"/>
      <c r="H52" s="168"/>
      <c r="L52" s="9"/>
    </row>
    <row r="53" ht="12.75">
      <c r="L53" s="9"/>
    </row>
    <row r="54" ht="12.75">
      <c r="L54" s="9"/>
    </row>
    <row r="55" ht="12.75">
      <c r="L55" s="9"/>
    </row>
    <row r="56" ht="12.75">
      <c r="L56" s="9"/>
    </row>
    <row r="57" ht="12.75">
      <c r="L57" s="9"/>
    </row>
    <row r="58" ht="12.75">
      <c r="L58" s="9"/>
    </row>
    <row r="59" ht="12.75">
      <c r="L59" s="9"/>
    </row>
    <row r="60" ht="12.75">
      <c r="L60" s="9"/>
    </row>
    <row r="61" ht="12.75">
      <c r="L61" s="9"/>
    </row>
    <row r="62" ht="12.75">
      <c r="L62" s="9"/>
    </row>
    <row r="63" ht="12.75">
      <c r="L63" s="9"/>
    </row>
    <row r="64" ht="12.75">
      <c r="L64" s="9"/>
    </row>
    <row r="65" ht="12.75">
      <c r="L65" s="9"/>
    </row>
    <row r="66" ht="12.75">
      <c r="L66" s="9"/>
    </row>
    <row r="67" ht="12.75">
      <c r="L67" s="9"/>
    </row>
    <row r="68" ht="12.75">
      <c r="L68" s="9"/>
    </row>
    <row r="69" ht="12.75">
      <c r="L69" s="9"/>
    </row>
    <row r="70" ht="12.75">
      <c r="L70" s="9"/>
    </row>
    <row r="71" ht="12.75">
      <c r="L71" s="9"/>
    </row>
    <row r="72" ht="409.5">
      <c r="L72" s="9"/>
    </row>
    <row r="73" ht="409.5">
      <c r="L73" s="9"/>
    </row>
    <row r="74" ht="12.75">
      <c r="L74" s="9"/>
    </row>
  </sheetData>
  <sheetProtection/>
  <printOptions gridLines="1" headings="1"/>
  <pageMargins left="0.67" right="0.48" top="1" bottom="1" header="0.5" footer="0.5"/>
  <pageSetup fitToHeight="1" fitToWidth="1" horizontalDpi="600" verticalDpi="600" orientation="landscape" paperSize="17" scale="64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37"/>
  <sheetViews>
    <sheetView zoomScalePageLayoutView="0" workbookViewId="0" topLeftCell="A1">
      <selection activeCell="A2" sqref="A1:A2"/>
    </sheetView>
  </sheetViews>
  <sheetFormatPr defaultColWidth="9.140625" defaultRowHeight="12.75"/>
  <cols>
    <col min="7" max="7" width="13.7109375" style="0" customWidth="1"/>
    <col min="8" max="8" width="17.8515625" style="0" customWidth="1"/>
  </cols>
  <sheetData>
    <row r="1" ht="12.75">
      <c r="A1" s="8" t="s">
        <v>429</v>
      </c>
    </row>
    <row r="2" ht="12.75">
      <c r="A2" s="8" t="s">
        <v>428</v>
      </c>
    </row>
    <row r="4" spans="1:8" ht="17.25">
      <c r="A4" s="75" t="s">
        <v>27</v>
      </c>
      <c r="B4" s="76"/>
      <c r="C4" s="76"/>
      <c r="D4" s="76"/>
      <c r="E4" s="76"/>
      <c r="F4" s="76"/>
      <c r="G4" s="76"/>
      <c r="H4" s="76"/>
    </row>
    <row r="5" spans="1:8" ht="17.25">
      <c r="A5" s="75" t="s">
        <v>369</v>
      </c>
      <c r="B5" s="76"/>
      <c r="C5" s="76"/>
      <c r="D5" s="76"/>
      <c r="E5" s="76"/>
      <c r="F5" s="76"/>
      <c r="G5" s="76"/>
      <c r="H5" s="76"/>
    </row>
    <row r="6" spans="1:8" ht="17.25">
      <c r="A6" s="69" t="s">
        <v>370</v>
      </c>
      <c r="B6" s="76"/>
      <c r="C6" s="76"/>
      <c r="D6" s="76"/>
      <c r="E6" s="76"/>
      <c r="F6" s="76"/>
      <c r="G6" s="76"/>
      <c r="H6" s="76"/>
    </row>
    <row r="7" s="30" customFormat="1" ht="12.75">
      <c r="E7" s="93"/>
    </row>
    <row r="8" spans="1:9" ht="15">
      <c r="A8" s="12" t="s">
        <v>28</v>
      </c>
      <c r="B8" s="15"/>
      <c r="C8" s="15"/>
      <c r="D8" s="15"/>
      <c r="E8" s="15"/>
      <c r="F8" s="15"/>
      <c r="G8" s="15"/>
      <c r="H8" s="18">
        <f>calc14!E29+calc14!E32</f>
        <v>2811822.361643171</v>
      </c>
      <c r="I8" s="218" t="s">
        <v>412</v>
      </c>
    </row>
    <row r="9" spans="1:8" ht="15">
      <c r="A9" s="12"/>
      <c r="B9" s="15"/>
      <c r="C9" s="15"/>
      <c r="D9" s="15"/>
      <c r="E9" s="15"/>
      <c r="F9" s="15"/>
      <c r="G9" s="15"/>
      <c r="H9" s="74"/>
    </row>
    <row r="10" spans="1:8" ht="15">
      <c r="A10" s="68" t="s">
        <v>70</v>
      </c>
      <c r="B10" s="15"/>
      <c r="C10" s="15"/>
      <c r="D10" s="15"/>
      <c r="E10" s="15"/>
      <c r="F10" s="15"/>
      <c r="G10" s="15"/>
      <c r="H10" s="18">
        <f>calc14!C26</f>
        <v>228183</v>
      </c>
    </row>
    <row r="11" spans="1:8" ht="15">
      <c r="A11" s="12"/>
      <c r="B11" s="15"/>
      <c r="C11" s="15"/>
      <c r="D11" s="15"/>
      <c r="E11" s="15"/>
      <c r="F11" s="15"/>
      <c r="G11" s="15"/>
      <c r="H11" s="17"/>
    </row>
    <row r="12" spans="1:8" ht="15">
      <c r="A12" s="68" t="s">
        <v>71</v>
      </c>
      <c r="B12" s="15"/>
      <c r="C12" s="15"/>
      <c r="D12" s="15"/>
      <c r="E12" s="15"/>
      <c r="F12" s="15"/>
      <c r="G12" s="15"/>
      <c r="H12" s="18">
        <f>calc14!E32</f>
        <v>449574.1544</v>
      </c>
    </row>
    <row r="13" spans="1:8" ht="15">
      <c r="A13" s="12"/>
      <c r="B13" s="15"/>
      <c r="C13" s="15"/>
      <c r="D13" s="15"/>
      <c r="E13" s="15"/>
      <c r="F13" s="15"/>
      <c r="G13" s="15"/>
      <c r="H13" s="17"/>
    </row>
    <row r="14" spans="1:8" ht="15">
      <c r="A14" s="84" t="s">
        <v>272</v>
      </c>
      <c r="B14" s="15"/>
      <c r="C14" s="15"/>
      <c r="D14" s="15"/>
      <c r="E14" s="15"/>
      <c r="F14" s="15"/>
      <c r="G14" s="15"/>
      <c r="H14" s="18">
        <f>H8-H10-H12</f>
        <v>2134065.207243171</v>
      </c>
    </row>
    <row r="15" spans="1:8" ht="15">
      <c r="A15" s="12"/>
      <c r="B15" s="15"/>
      <c r="C15" s="15"/>
      <c r="D15" s="15"/>
      <c r="E15" s="15"/>
      <c r="F15" s="15"/>
      <c r="G15" s="15"/>
      <c r="H15" s="17"/>
    </row>
    <row r="16" spans="1:15" ht="15">
      <c r="A16" s="68" t="s">
        <v>72</v>
      </c>
      <c r="B16" s="15"/>
      <c r="C16" s="15"/>
      <c r="D16" s="15"/>
      <c r="E16" s="15"/>
      <c r="F16" s="15"/>
      <c r="G16" s="15"/>
      <c r="H16" s="233">
        <f>calc14!I6</f>
        <v>19451</v>
      </c>
      <c r="I16" s="218" t="s">
        <v>384</v>
      </c>
      <c r="O16" s="218" t="s">
        <v>418</v>
      </c>
    </row>
    <row r="17" spans="1:8" ht="15">
      <c r="A17" s="12"/>
      <c r="B17" s="15"/>
      <c r="C17" s="15"/>
      <c r="D17" s="15"/>
      <c r="E17" s="15"/>
      <c r="F17" s="15"/>
      <c r="G17" s="15"/>
      <c r="H17" s="17"/>
    </row>
    <row r="18" spans="1:15" ht="15">
      <c r="A18" s="68" t="s">
        <v>4</v>
      </c>
      <c r="B18" s="15"/>
      <c r="C18" s="15"/>
      <c r="D18" s="15"/>
      <c r="E18" s="15"/>
      <c r="F18" s="15"/>
      <c r="G18" s="15"/>
      <c r="H18" s="233">
        <f>'NF&amp;SFP Wheels'!C31</f>
        <v>77259</v>
      </c>
      <c r="I18" s="218" t="s">
        <v>413</v>
      </c>
      <c r="O18" s="218" t="s">
        <v>419</v>
      </c>
    </row>
    <row r="19" spans="1:8" ht="15">
      <c r="A19" s="12"/>
      <c r="B19" s="15"/>
      <c r="C19" s="15"/>
      <c r="D19" s="15"/>
      <c r="E19" s="15"/>
      <c r="F19" s="15"/>
      <c r="G19" s="15"/>
      <c r="H19" s="17"/>
    </row>
    <row r="20" spans="1:15" ht="15">
      <c r="A20" s="68" t="s">
        <v>0</v>
      </c>
      <c r="H20" s="233">
        <f>'NF&amp;SFP Wheels'!C36</f>
        <v>54514</v>
      </c>
      <c r="I20" s="218" t="s">
        <v>413</v>
      </c>
      <c r="O20" s="218" t="s">
        <v>423</v>
      </c>
    </row>
    <row r="21" spans="1:8" ht="15">
      <c r="A21" s="12"/>
      <c r="B21" s="15"/>
      <c r="C21" s="15"/>
      <c r="D21" s="15"/>
      <c r="E21" s="15"/>
      <c r="F21" s="15"/>
      <c r="G21" s="15"/>
      <c r="H21" s="17"/>
    </row>
    <row r="22" spans="1:11" ht="15">
      <c r="A22" s="68" t="s">
        <v>58</v>
      </c>
      <c r="B22" s="15"/>
      <c r="C22" s="15"/>
      <c r="D22" s="15"/>
      <c r="E22" s="15"/>
      <c r="F22" s="15"/>
      <c r="G22" s="15"/>
      <c r="H22" s="18">
        <f>H14-H16-H18-H20</f>
        <v>1982841.207243171</v>
      </c>
      <c r="I22" s="218" t="s">
        <v>414</v>
      </c>
      <c r="K22" s="8" t="s">
        <v>415</v>
      </c>
    </row>
    <row r="23" spans="1:8" ht="15">
      <c r="A23" s="12"/>
      <c r="B23" s="15"/>
      <c r="C23" s="15"/>
      <c r="D23" s="15"/>
      <c r="E23" s="15"/>
      <c r="F23" s="15"/>
      <c r="G23" s="15"/>
      <c r="H23" s="74"/>
    </row>
    <row r="24" spans="1:10" ht="15">
      <c r="A24" s="68" t="s">
        <v>59</v>
      </c>
      <c r="B24" s="15"/>
      <c r="C24" s="15"/>
      <c r="D24" s="15"/>
      <c r="E24" s="15"/>
      <c r="F24" s="15"/>
      <c r="G24" s="15"/>
      <c r="H24" s="18">
        <f>calc14!H6-H10</f>
        <v>123160404</v>
      </c>
      <c r="J24" s="8" t="s">
        <v>416</v>
      </c>
    </row>
    <row r="25" spans="1:8" ht="15">
      <c r="A25" s="12" t="s">
        <v>273</v>
      </c>
      <c r="B25" s="15"/>
      <c r="C25" s="15"/>
      <c r="D25" s="15"/>
      <c r="E25" s="15"/>
      <c r="F25" s="15"/>
      <c r="G25" s="15"/>
      <c r="H25" s="20"/>
    </row>
    <row r="26" spans="1:9" ht="15">
      <c r="A26" s="84" t="s">
        <v>60</v>
      </c>
      <c r="B26" s="15"/>
      <c r="C26" s="15"/>
      <c r="D26" s="15"/>
      <c r="E26" s="15"/>
      <c r="F26" s="15"/>
      <c r="G26" s="15"/>
      <c r="H26" s="34">
        <f>H22/H24</f>
        <v>0.016099664688037002</v>
      </c>
      <c r="I26" s="218" t="s">
        <v>417</v>
      </c>
    </row>
    <row r="27" spans="1:8" ht="15">
      <c r="A27" s="68" t="s">
        <v>64</v>
      </c>
      <c r="B27" s="15"/>
      <c r="C27" s="15"/>
      <c r="D27" s="15"/>
      <c r="E27" s="15"/>
      <c r="F27" s="15"/>
      <c r="G27" s="15"/>
      <c r="H27" s="19"/>
    </row>
    <row r="28" spans="1:8" ht="15">
      <c r="A28" s="12"/>
      <c r="B28" s="15"/>
      <c r="C28" s="15"/>
      <c r="D28" s="15"/>
      <c r="E28" s="15"/>
      <c r="F28" s="15"/>
      <c r="G28" s="15"/>
      <c r="H28" s="19"/>
    </row>
    <row r="29" spans="1:8" ht="15">
      <c r="A29" s="84" t="s">
        <v>61</v>
      </c>
      <c r="B29" s="15"/>
      <c r="C29" s="15"/>
      <c r="D29" s="15"/>
      <c r="E29" s="15"/>
      <c r="F29" s="15"/>
      <c r="G29" s="15"/>
      <c r="H29" s="19"/>
    </row>
    <row r="30" spans="1:9" ht="15">
      <c r="A30" s="68" t="s">
        <v>65</v>
      </c>
      <c r="B30" s="15"/>
      <c r="C30" s="15"/>
      <c r="D30" s="15"/>
      <c r="E30" s="15"/>
      <c r="F30" s="15"/>
      <c r="G30" s="15"/>
      <c r="H30" s="35">
        <f>1/(1-H26)</f>
        <v>1.0163631051949304</v>
      </c>
      <c r="I30" s="218" t="s">
        <v>417</v>
      </c>
    </row>
    <row r="31" spans="1:8" ht="15">
      <c r="A31" s="68" t="s">
        <v>66</v>
      </c>
      <c r="B31" s="15"/>
      <c r="C31" s="15"/>
      <c r="D31" s="15"/>
      <c r="E31" s="15"/>
      <c r="F31" s="15"/>
      <c r="G31" s="15"/>
      <c r="H31" s="35">
        <f>1-H26</f>
        <v>0.983900335311963</v>
      </c>
    </row>
    <row r="33" spans="1:8" ht="12.75">
      <c r="A33" t="s">
        <v>62</v>
      </c>
      <c r="H33" s="85">
        <f>+(H22+H10)/(H24+H10)</f>
        <v>0.017919195453978017</v>
      </c>
    </row>
    <row r="34" ht="15">
      <c r="A34" s="68" t="s">
        <v>67</v>
      </c>
    </row>
    <row r="35" spans="1:8" ht="12.75">
      <c r="A35" t="s">
        <v>63</v>
      </c>
      <c r="H35" t="s">
        <v>8</v>
      </c>
    </row>
    <row r="36" spans="1:8" ht="12.75">
      <c r="A36" s="29" t="s">
        <v>68</v>
      </c>
      <c r="H36" s="86">
        <f>1/(1-H33)</f>
        <v>1.0182461518146273</v>
      </c>
    </row>
    <row r="37" spans="1:8" ht="12.75">
      <c r="A37" s="29" t="s">
        <v>69</v>
      </c>
      <c r="H37" s="87">
        <f>1-(H33)</f>
        <v>0.982080804546022</v>
      </c>
    </row>
  </sheetData>
  <sheetProtection/>
  <printOptions horizontalCentered="1"/>
  <pageMargins left="0.75" right="0.75" top="0.5" bottom="0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P31"/>
  <sheetViews>
    <sheetView zoomScalePageLayoutView="0" workbookViewId="0" topLeftCell="A1">
      <selection activeCell="A2" sqref="A1:A2"/>
    </sheetView>
  </sheetViews>
  <sheetFormatPr defaultColWidth="9.140625" defaultRowHeight="12.75"/>
  <cols>
    <col min="8" max="8" width="12.7109375" style="0" customWidth="1"/>
    <col min="9" max="9" width="15.140625" style="37" bestFit="1" customWidth="1"/>
    <col min="12" max="12" width="10.00390625" style="0" customWidth="1"/>
    <col min="14" max="14" width="11.8515625" style="0" bestFit="1" customWidth="1"/>
  </cols>
  <sheetData>
    <row r="1" ht="12.75">
      <c r="A1" s="8" t="s">
        <v>430</v>
      </c>
    </row>
    <row r="2" ht="12.75">
      <c r="A2" s="8" t="s">
        <v>428</v>
      </c>
    </row>
    <row r="4" spans="1:9" ht="17.25">
      <c r="A4" s="75" t="s">
        <v>27</v>
      </c>
      <c r="B4" s="77"/>
      <c r="C4" s="77"/>
      <c r="D4" s="77"/>
      <c r="E4" s="77"/>
      <c r="F4" s="77"/>
      <c r="G4" s="77"/>
      <c r="H4" s="77"/>
      <c r="I4" s="77"/>
    </row>
    <row r="5" spans="1:9" ht="17.25">
      <c r="A5" s="75" t="s">
        <v>373</v>
      </c>
      <c r="B5" s="77"/>
      <c r="C5" s="77"/>
      <c r="D5" s="77"/>
      <c r="E5" s="77"/>
      <c r="F5" s="77"/>
      <c r="G5" s="77"/>
      <c r="H5" s="77"/>
      <c r="I5" s="77"/>
    </row>
    <row r="6" spans="1:9" ht="17.25">
      <c r="A6" s="69" t="s">
        <v>370</v>
      </c>
      <c r="B6" s="77"/>
      <c r="C6" s="77"/>
      <c r="D6" s="77"/>
      <c r="E6" s="77"/>
      <c r="F6" s="77"/>
      <c r="G6" s="77"/>
      <c r="H6" s="77"/>
      <c r="I6" s="77"/>
    </row>
    <row r="7" spans="4:9" ht="12.75">
      <c r="D7" s="11"/>
      <c r="F7" s="11"/>
      <c r="H7" s="37"/>
      <c r="I7"/>
    </row>
    <row r="8" spans="4:9" ht="12.75">
      <c r="D8" s="11"/>
      <c r="F8" s="11"/>
      <c r="H8" s="37"/>
      <c r="I8"/>
    </row>
    <row r="9" spans="1:14" ht="15">
      <c r="A9" s="68" t="s">
        <v>29</v>
      </c>
      <c r="B9" s="13"/>
      <c r="C9" s="13"/>
      <c r="D9" s="13"/>
      <c r="E9" s="13"/>
      <c r="F9" s="13"/>
      <c r="G9" s="13"/>
      <c r="I9" s="239">
        <f>calc14!G6</f>
        <v>116027434</v>
      </c>
      <c r="J9" s="218" t="s">
        <v>424</v>
      </c>
      <c r="N9" s="218" t="s">
        <v>425</v>
      </c>
    </row>
    <row r="10" spans="1:9" ht="15">
      <c r="A10" s="12"/>
      <c r="B10" s="13"/>
      <c r="C10" s="13"/>
      <c r="D10" s="13"/>
      <c r="E10" s="13"/>
      <c r="F10" s="13"/>
      <c r="G10" s="13"/>
      <c r="I10" s="71"/>
    </row>
    <row r="11" spans="1:9" ht="15">
      <c r="A11" s="68" t="s">
        <v>1</v>
      </c>
      <c r="B11" s="13"/>
      <c r="C11" s="13"/>
      <c r="D11" s="13"/>
      <c r="E11" s="13"/>
      <c r="F11" s="13"/>
      <c r="G11" s="13"/>
      <c r="I11" s="70">
        <f>calc14!E29</f>
        <v>2362248.207243171</v>
      </c>
    </row>
    <row r="12" spans="1:9" ht="15">
      <c r="A12" s="68"/>
      <c r="B12" s="13"/>
      <c r="C12" s="13"/>
      <c r="D12" s="13"/>
      <c r="E12" s="13"/>
      <c r="F12" s="13"/>
      <c r="G12" s="13"/>
      <c r="I12" s="72"/>
    </row>
    <row r="13" spans="1:11" ht="15">
      <c r="A13" s="68" t="s">
        <v>262</v>
      </c>
      <c r="B13" s="13"/>
      <c r="C13" s="13"/>
      <c r="D13" s="13"/>
      <c r="E13" s="200" t="s">
        <v>374</v>
      </c>
      <c r="F13" s="13"/>
      <c r="G13" s="13"/>
      <c r="I13" s="70">
        <v>7185763</v>
      </c>
      <c r="K13" s="8" t="s">
        <v>403</v>
      </c>
    </row>
    <row r="14" spans="1:7" ht="15">
      <c r="A14" s="106" t="s">
        <v>340</v>
      </c>
      <c r="B14" s="13"/>
      <c r="C14" s="13"/>
      <c r="E14" s="13"/>
      <c r="F14" s="13"/>
      <c r="G14" s="13"/>
    </row>
    <row r="15" spans="1:11" ht="15">
      <c r="A15" s="68" t="s">
        <v>268</v>
      </c>
      <c r="B15" s="13"/>
      <c r="C15" s="13"/>
      <c r="D15" s="13"/>
      <c r="E15" s="13"/>
      <c r="F15" s="13"/>
      <c r="G15" s="13"/>
      <c r="I15" s="70">
        <f>I9-I11-I13</f>
        <v>106479422.79275683</v>
      </c>
      <c r="K15" s="8" t="s">
        <v>404</v>
      </c>
    </row>
    <row r="16" spans="1:9" ht="15">
      <c r="A16" s="12"/>
      <c r="B16" s="13"/>
      <c r="C16" s="13"/>
      <c r="D16" s="13"/>
      <c r="E16" s="13"/>
      <c r="F16" s="13"/>
      <c r="G16" s="13"/>
      <c r="I16" s="72"/>
    </row>
    <row r="17" spans="1:16" ht="15">
      <c r="A17" s="68" t="s">
        <v>263</v>
      </c>
      <c r="B17" s="13"/>
      <c r="C17" s="13"/>
      <c r="D17" s="13"/>
      <c r="E17" s="13"/>
      <c r="F17" s="13"/>
      <c r="G17" s="13"/>
      <c r="I17" s="70">
        <f>calc14!E32</f>
        <v>449574.1544</v>
      </c>
      <c r="M17" s="236" t="s">
        <v>405</v>
      </c>
      <c r="N17" s="9">
        <f>+I15-I17</f>
        <v>106029848.63835682</v>
      </c>
      <c r="P17" s="8" t="s">
        <v>406</v>
      </c>
    </row>
    <row r="18" spans="1:9" ht="15">
      <c r="A18" s="12"/>
      <c r="B18" s="13"/>
      <c r="C18" s="13"/>
      <c r="D18" s="13"/>
      <c r="E18" s="13"/>
      <c r="F18" s="13"/>
      <c r="G18" s="13"/>
      <c r="I18" s="72"/>
    </row>
    <row r="19" spans="1:16" ht="15">
      <c r="A19" s="68" t="s">
        <v>264</v>
      </c>
      <c r="B19" s="13"/>
      <c r="C19" s="13"/>
      <c r="D19" s="13"/>
      <c r="E19" s="200" t="s">
        <v>374</v>
      </c>
      <c r="F19" s="13"/>
      <c r="G19" s="13"/>
      <c r="I19" s="239">
        <v>623574</v>
      </c>
      <c r="J19" s="218" t="s">
        <v>407</v>
      </c>
      <c r="N19" s="9">
        <f>+N17-I19</f>
        <v>105406274.63835682</v>
      </c>
      <c r="P19" s="8" t="s">
        <v>408</v>
      </c>
    </row>
    <row r="20" spans="1:14" ht="15">
      <c r="A20" s="105"/>
      <c r="B20" s="13"/>
      <c r="C20" s="13"/>
      <c r="D20" s="13"/>
      <c r="E20" s="13"/>
      <c r="F20" s="13"/>
      <c r="G20" s="13"/>
      <c r="I20" s="71"/>
      <c r="J20" s="218" t="s">
        <v>426</v>
      </c>
      <c r="N20" s="106" t="s">
        <v>409</v>
      </c>
    </row>
    <row r="21" spans="1:9" ht="15">
      <c r="A21" s="68" t="s">
        <v>265</v>
      </c>
      <c r="B21" s="13"/>
      <c r="C21" s="13"/>
      <c r="D21" s="13"/>
      <c r="E21" s="13"/>
      <c r="F21" s="13"/>
      <c r="G21" s="13"/>
      <c r="I21" s="70">
        <f>I17+I19</f>
        <v>1073148.1543999999</v>
      </c>
    </row>
    <row r="22" spans="1:9" ht="15">
      <c r="A22" s="68" t="s">
        <v>269</v>
      </c>
      <c r="B22" s="13"/>
      <c r="C22" s="13"/>
      <c r="D22" s="13"/>
      <c r="E22" s="13"/>
      <c r="F22" s="13"/>
      <c r="G22" s="13"/>
      <c r="I22" s="47"/>
    </row>
    <row r="23" spans="1:9" ht="15">
      <c r="A23" s="12"/>
      <c r="B23" s="13"/>
      <c r="C23" s="13"/>
      <c r="D23" s="13"/>
      <c r="E23" s="13"/>
      <c r="F23" s="13"/>
      <c r="G23" s="13"/>
      <c r="I23" s="14"/>
    </row>
    <row r="24" spans="1:10" ht="15">
      <c r="A24" s="68" t="s">
        <v>266</v>
      </c>
      <c r="B24" s="13"/>
      <c r="C24" s="13"/>
      <c r="D24" s="13"/>
      <c r="E24" s="13"/>
      <c r="F24" s="13"/>
      <c r="G24" s="13"/>
      <c r="I24" s="34">
        <f>I21/I15</f>
        <v>0.010078455782848213</v>
      </c>
      <c r="J24" s="237" t="s">
        <v>410</v>
      </c>
    </row>
    <row r="25" spans="1:9" ht="15">
      <c r="A25" s="68" t="s">
        <v>270</v>
      </c>
      <c r="B25" s="13"/>
      <c r="C25" s="13"/>
      <c r="D25" s="13"/>
      <c r="E25" s="13"/>
      <c r="F25" s="13"/>
      <c r="G25" s="13"/>
      <c r="I25" s="19"/>
    </row>
    <row r="26" spans="1:9" ht="15">
      <c r="A26" s="12"/>
      <c r="B26" s="13"/>
      <c r="C26" s="13"/>
      <c r="D26" s="13"/>
      <c r="E26" s="13"/>
      <c r="F26" s="13"/>
      <c r="G26" s="13"/>
      <c r="I26" s="19"/>
    </row>
    <row r="27" spans="1:9" ht="15">
      <c r="A27" s="68" t="s">
        <v>267</v>
      </c>
      <c r="B27" s="13"/>
      <c r="C27" s="13"/>
      <c r="D27" s="13"/>
      <c r="E27" s="13"/>
      <c r="F27" s="13"/>
      <c r="G27" s="13"/>
      <c r="I27" s="19"/>
    </row>
    <row r="28" spans="1:10" ht="15">
      <c r="A28" s="68" t="s">
        <v>271</v>
      </c>
      <c r="B28" s="13"/>
      <c r="C28" s="13"/>
      <c r="D28" s="13"/>
      <c r="E28" s="13"/>
      <c r="F28" s="13"/>
      <c r="G28" s="13"/>
      <c r="I28" s="35">
        <f>1/(1-I24)</f>
        <v>1.0101810651982712</v>
      </c>
      <c r="J28" s="237" t="s">
        <v>411</v>
      </c>
    </row>
    <row r="30" spans="1:9" ht="12.75">
      <c r="A30" s="16"/>
      <c r="B30" s="16"/>
      <c r="C30" s="16"/>
      <c r="D30" s="16"/>
      <c r="E30" s="16"/>
      <c r="F30" s="16"/>
      <c r="G30" s="16"/>
      <c r="H30" s="16"/>
      <c r="I30" s="36"/>
    </row>
    <row r="31" spans="9:10" ht="12.75">
      <c r="I31"/>
      <c r="J31" s="37"/>
    </row>
  </sheetData>
  <sheetProtection/>
  <printOptions horizontalCentered="1"/>
  <pageMargins left="0.6" right="0.6" top="1.25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1"/>
  <sheetViews>
    <sheetView zoomScalePageLayoutView="0" workbookViewId="0" topLeftCell="A1">
      <selection activeCell="A2" sqref="A1:A2"/>
    </sheetView>
  </sheetViews>
  <sheetFormatPr defaultColWidth="9.140625" defaultRowHeight="12.75"/>
  <cols>
    <col min="1" max="1" width="44.7109375" style="0" customWidth="1"/>
    <col min="2" max="2" width="12.7109375" style="0" customWidth="1"/>
    <col min="7" max="7" width="11.421875" style="0" customWidth="1"/>
    <col min="8" max="12" width="10.28125" style="0" customWidth="1"/>
  </cols>
  <sheetData>
    <row r="1" ht="12.75">
      <c r="A1" s="8" t="s">
        <v>431</v>
      </c>
    </row>
    <row r="2" ht="12.75">
      <c r="A2" s="8" t="s">
        <v>428</v>
      </c>
    </row>
    <row r="4" ht="12.75">
      <c r="F4" s="106" t="s">
        <v>375</v>
      </c>
    </row>
    <row r="5" spans="1:6" s="8" customFormat="1" ht="12.75">
      <c r="A5" s="73" t="s">
        <v>379</v>
      </c>
      <c r="F5" s="106" t="s">
        <v>376</v>
      </c>
    </row>
    <row r="6" s="8" customFormat="1" ht="12.75">
      <c r="A6" s="78" t="s">
        <v>223</v>
      </c>
    </row>
    <row r="8" spans="1:8" ht="12.75">
      <c r="A8" s="46" t="s">
        <v>219</v>
      </c>
      <c r="B8" s="217">
        <f>calc14!C26</f>
        <v>228183</v>
      </c>
      <c r="C8" s="218" t="s">
        <v>383</v>
      </c>
      <c r="F8" s="218" t="s">
        <v>384</v>
      </c>
      <c r="H8" s="219" t="s">
        <v>385</v>
      </c>
    </row>
    <row r="9" spans="1:8" ht="12.75">
      <c r="A9" s="46" t="s">
        <v>276</v>
      </c>
      <c r="B9" s="217">
        <f>calc14!E29-B8</f>
        <v>2134065.207243171</v>
      </c>
      <c r="C9" s="218" t="s">
        <v>383</v>
      </c>
      <c r="F9" s="218" t="s">
        <v>384</v>
      </c>
      <c r="H9" s="219" t="s">
        <v>386</v>
      </c>
    </row>
    <row r="10" spans="1:8" ht="12.75">
      <c r="A10" s="46" t="s">
        <v>220</v>
      </c>
      <c r="B10" s="10">
        <f>B8+B9</f>
        <v>2362248.207243171</v>
      </c>
      <c r="H10" s="106"/>
    </row>
    <row r="11" spans="1:8" ht="12.75">
      <c r="A11" s="46" t="s">
        <v>221</v>
      </c>
      <c r="B11" s="217">
        <f>calc14!E32</f>
        <v>449574.1544</v>
      </c>
      <c r="F11" s="218" t="s">
        <v>384</v>
      </c>
      <c r="H11" s="219" t="s">
        <v>387</v>
      </c>
    </row>
    <row r="12" spans="1:2" ht="12.75">
      <c r="A12" s="46"/>
      <c r="B12" s="10"/>
    </row>
    <row r="13" ht="12.75">
      <c r="A13" s="46" t="s">
        <v>30</v>
      </c>
    </row>
    <row r="14" spans="1:3" ht="12.75">
      <c r="A14" s="46" t="s">
        <v>364</v>
      </c>
      <c r="B14" s="83">
        <f>calc14!H6</f>
        <v>123388587</v>
      </c>
      <c r="C14" t="s">
        <v>306</v>
      </c>
    </row>
    <row r="15" spans="1:3" ht="12.75">
      <c r="A15" s="46" t="s">
        <v>365</v>
      </c>
      <c r="B15" s="83">
        <f>calc14!F6</f>
        <v>7361153</v>
      </c>
      <c r="C15" t="s">
        <v>307</v>
      </c>
    </row>
    <row r="16" spans="1:4" ht="12.75">
      <c r="A16" t="s">
        <v>305</v>
      </c>
      <c r="B16" s="10">
        <f>'Distr. Letter'!I13</f>
        <v>7185763</v>
      </c>
      <c r="C16" t="s">
        <v>315</v>
      </c>
      <c r="D16" s="200"/>
    </row>
    <row r="17" ht="12.75">
      <c r="A17" s="200"/>
    </row>
    <row r="18" ht="12.75">
      <c r="A18" s="8" t="s">
        <v>222</v>
      </c>
    </row>
    <row r="19" spans="1:9" ht="12.75">
      <c r="A19" s="32" t="s">
        <v>278</v>
      </c>
      <c r="G19" s="218" t="s">
        <v>388</v>
      </c>
      <c r="H19" s="220"/>
      <c r="I19" s="221" t="s">
        <v>41</v>
      </c>
    </row>
    <row r="20" spans="1:12" ht="12.75">
      <c r="A20" t="s">
        <v>317</v>
      </c>
      <c r="H20" s="220"/>
      <c r="I20" s="222">
        <v>2282100</v>
      </c>
      <c r="J20" s="218" t="s">
        <v>389</v>
      </c>
      <c r="L20" s="219" t="s">
        <v>390</v>
      </c>
    </row>
    <row r="21" spans="1:12" ht="12.75">
      <c r="A21" t="s">
        <v>318</v>
      </c>
      <c r="G21" s="223">
        <v>101240</v>
      </c>
      <c r="H21" s="224">
        <v>485736</v>
      </c>
      <c r="I21" s="225">
        <f>SUM(G21:H21)</f>
        <v>586976</v>
      </c>
      <c r="J21" s="218" t="s">
        <v>389</v>
      </c>
      <c r="L21" s="219" t="s">
        <v>391</v>
      </c>
    </row>
    <row r="22" spans="1:9" ht="12.75">
      <c r="A22" t="s">
        <v>319</v>
      </c>
      <c r="G22" s="226">
        <v>2455740</v>
      </c>
      <c r="H22" s="227">
        <v>29915</v>
      </c>
      <c r="I22" s="228">
        <f>SUM(G22:H22)</f>
        <v>2485655</v>
      </c>
    </row>
    <row r="23" spans="1:9" ht="12.75">
      <c r="A23" t="s">
        <v>320</v>
      </c>
      <c r="H23" s="220"/>
      <c r="I23" s="228">
        <v>753930</v>
      </c>
    </row>
    <row r="24" spans="1:9" ht="12.75">
      <c r="A24" t="s">
        <v>321</v>
      </c>
      <c r="H24" s="220"/>
      <c r="I24" s="223">
        <v>56543</v>
      </c>
    </row>
    <row r="25" spans="1:12" ht="12.75">
      <c r="A25" s="32" t="s">
        <v>361</v>
      </c>
      <c r="H25" s="220"/>
      <c r="I25" s="226">
        <v>80622</v>
      </c>
      <c r="K25" s="240">
        <f>SUM(I22:I31)</f>
        <v>4492077</v>
      </c>
      <c r="L25" s="218" t="s">
        <v>392</v>
      </c>
    </row>
    <row r="26" spans="1:12" ht="12.75">
      <c r="A26" s="32" t="s">
        <v>362</v>
      </c>
      <c r="H26" s="220"/>
      <c r="I26" s="223">
        <v>193026</v>
      </c>
      <c r="K26" s="240"/>
      <c r="L26" s="218" t="s">
        <v>393</v>
      </c>
    </row>
    <row r="27" spans="1:12" ht="12.75">
      <c r="A27" t="s">
        <v>332</v>
      </c>
      <c r="H27" s="220"/>
      <c r="I27" s="223">
        <v>18664</v>
      </c>
      <c r="K27" s="229">
        <f>+'Trans. Letter'!H16+'Trans. Letter'!H18+'Trans. Letter'!H20</f>
        <v>151224</v>
      </c>
      <c r="L27" s="218" t="s">
        <v>420</v>
      </c>
    </row>
    <row r="28" spans="1:12" ht="13.5" thickBot="1">
      <c r="A28" t="s">
        <v>333</v>
      </c>
      <c r="H28" s="220"/>
      <c r="I28" s="223">
        <v>12808</v>
      </c>
      <c r="K28" s="238">
        <f>SUM(K25:K27)</f>
        <v>4643301</v>
      </c>
      <c r="L28" s="218" t="s">
        <v>421</v>
      </c>
    </row>
    <row r="29" spans="1:12" ht="13.5" thickTop="1">
      <c r="A29" s="106" t="s">
        <v>377</v>
      </c>
      <c r="H29" s="220"/>
      <c r="I29" s="226">
        <v>454102</v>
      </c>
      <c r="L29" s="218" t="s">
        <v>422</v>
      </c>
    </row>
    <row r="30" spans="1:9" ht="12.75">
      <c r="A30" s="32" t="s">
        <v>360</v>
      </c>
      <c r="H30" s="220"/>
      <c r="I30" s="223">
        <v>61704</v>
      </c>
    </row>
    <row r="31" spans="1:12" ht="12.75">
      <c r="A31" s="106" t="s">
        <v>378</v>
      </c>
      <c r="H31" s="220"/>
      <c r="I31" s="230">
        <v>375023</v>
      </c>
      <c r="J31" s="231">
        <f>SUM(I20:I31)</f>
        <v>7361153</v>
      </c>
      <c r="L31" s="8" t="s">
        <v>394</v>
      </c>
    </row>
    <row r="32" ht="12.75">
      <c r="A32" t="s">
        <v>339</v>
      </c>
    </row>
    <row r="33" spans="1:10" ht="12.75">
      <c r="A33" t="s">
        <v>338</v>
      </c>
      <c r="I33" t="s">
        <v>395</v>
      </c>
      <c r="J33" s="9">
        <f>+B15</f>
        <v>7361153</v>
      </c>
    </row>
    <row r="34" spans="1:10" ht="12.75">
      <c r="A34" s="32"/>
      <c r="J34" s="9">
        <f>+J31-J33</f>
        <v>0</v>
      </c>
    </row>
    <row r="35" ht="12.75">
      <c r="A35" s="106" t="s">
        <v>402</v>
      </c>
    </row>
    <row r="37" ht="12.75">
      <c r="G37" s="232" t="s">
        <v>396</v>
      </c>
    </row>
    <row r="38" spans="7:8" ht="12.75">
      <c r="G38" s="106" t="s">
        <v>397</v>
      </c>
      <c r="H38" s="226">
        <v>38156</v>
      </c>
    </row>
    <row r="39" spans="7:8" ht="12.75">
      <c r="G39" s="106" t="s">
        <v>398</v>
      </c>
      <c r="H39" s="226">
        <v>780489</v>
      </c>
    </row>
    <row r="40" spans="7:8" ht="12.75">
      <c r="G40" s="106" t="s">
        <v>310</v>
      </c>
      <c r="H40" s="226">
        <v>3832819</v>
      </c>
    </row>
    <row r="41" spans="7:8" ht="12.75">
      <c r="G41" s="106" t="s">
        <v>399</v>
      </c>
      <c r="H41" s="226">
        <v>63455</v>
      </c>
    </row>
  </sheetData>
  <sheetProtection/>
  <mergeCells count="1">
    <mergeCell ref="K25:K26"/>
  </mergeCells>
  <printOptions verticalCentered="1"/>
  <pageMargins left="0.75" right="0.75" top="1" bottom="1" header="0.5" footer="0.5"/>
  <pageSetup fitToHeight="1" fitToWidth="1" horizontalDpi="300" verticalDpi="300" orientation="landscape" r:id="rId4"/>
  <headerFooter alignWithMargins="0">
    <oddFooter>&amp;CPage &amp;P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49"/>
  <sheetViews>
    <sheetView zoomScalePageLayoutView="0" workbookViewId="0" topLeftCell="A1">
      <pane ySplit="4" topLeftCell="A5" activePane="bottomLeft" state="frozen"/>
      <selection pane="topLeft" activeCell="A1" sqref="A1:AT16384"/>
      <selection pane="bottomLeft" activeCell="A2" sqref="A1:A2"/>
    </sheetView>
  </sheetViews>
  <sheetFormatPr defaultColWidth="9.140625" defaultRowHeight="12.75"/>
  <cols>
    <col min="1" max="1" width="39.8515625" style="32" customWidth="1"/>
    <col min="2" max="2" width="10.421875" style="32" customWidth="1"/>
    <col min="3" max="3" width="17.00390625" style="91" bestFit="1" customWidth="1"/>
    <col min="4" max="4" width="11.28125" style="32" bestFit="1" customWidth="1"/>
    <col min="5" max="5" width="10.00390625" style="32" bestFit="1" customWidth="1"/>
    <col min="6" max="16384" width="9.140625" style="32" customWidth="1"/>
  </cols>
  <sheetData>
    <row r="1" ht="12.75">
      <c r="A1" s="8" t="s">
        <v>432</v>
      </c>
    </row>
    <row r="2" ht="12.75">
      <c r="A2" s="8" t="s">
        <v>428</v>
      </c>
    </row>
    <row r="4" spans="1:3" ht="30.75">
      <c r="A4" s="98" t="s">
        <v>381</v>
      </c>
      <c r="B4" s="99"/>
      <c r="C4" s="100"/>
    </row>
    <row r="5" spans="1:4" s="90" customFormat="1" ht="12.75">
      <c r="A5" s="32"/>
      <c r="B5" s="179" t="s">
        <v>8</v>
      </c>
      <c r="C5" s="91"/>
      <c r="D5" s="102" t="s">
        <v>8</v>
      </c>
    </row>
    <row r="6" spans="1:3" s="97" customFormat="1" ht="26.25">
      <c r="A6" s="89" t="s">
        <v>233</v>
      </c>
      <c r="B6" s="180" t="s">
        <v>234</v>
      </c>
      <c r="C6" s="181" t="s">
        <v>235</v>
      </c>
    </row>
    <row r="7" spans="1:3" s="97" customFormat="1" ht="12.75">
      <c r="A7" s="97" t="s">
        <v>289</v>
      </c>
      <c r="B7" s="94">
        <v>5795</v>
      </c>
      <c r="C7" s="94">
        <v>5688</v>
      </c>
    </row>
    <row r="8" spans="1:3" s="97" customFormat="1" ht="12.75">
      <c r="A8" s="97" t="s">
        <v>290</v>
      </c>
      <c r="B8" s="94">
        <f>50133+192</f>
        <v>50325</v>
      </c>
      <c r="C8" s="94">
        <f>48754+188</f>
        <v>48942</v>
      </c>
    </row>
    <row r="9" spans="1:5" s="97" customFormat="1" ht="12.75">
      <c r="A9" s="97" t="s">
        <v>348</v>
      </c>
      <c r="B9" s="94">
        <f>122+172</f>
        <v>294</v>
      </c>
      <c r="C9" s="94">
        <v>291</v>
      </c>
      <c r="E9" s="97" t="s">
        <v>8</v>
      </c>
    </row>
    <row r="10" spans="1:5" s="97" customFormat="1" ht="12.75">
      <c r="A10" s="97" t="s">
        <v>308</v>
      </c>
      <c r="B10" s="94">
        <v>17498</v>
      </c>
      <c r="C10" s="94">
        <v>17174</v>
      </c>
      <c r="E10" s="97" t="s">
        <v>8</v>
      </c>
    </row>
    <row r="11" spans="1:7" s="97" customFormat="1" ht="12.75">
      <c r="A11" s="97" t="s">
        <v>236</v>
      </c>
      <c r="B11" s="94"/>
      <c r="C11" s="94"/>
      <c r="E11" s="97" t="s">
        <v>8</v>
      </c>
      <c r="F11" s="94"/>
      <c r="G11" s="103"/>
    </row>
    <row r="12" spans="1:7" s="97" customFormat="1" ht="12.75">
      <c r="A12" s="97" t="s">
        <v>291</v>
      </c>
      <c r="B12" s="94">
        <f>4+763+11+401+50</f>
        <v>1229</v>
      </c>
      <c r="C12" s="94">
        <f>4+763+11+393+50</f>
        <v>1221</v>
      </c>
      <c r="E12" s="97" t="s">
        <v>8</v>
      </c>
      <c r="F12" s="94"/>
      <c r="G12" s="103"/>
    </row>
    <row r="13" spans="1:7" s="97" customFormat="1" ht="12.75">
      <c r="A13" s="97" t="s">
        <v>279</v>
      </c>
      <c r="B13" s="94">
        <v>12</v>
      </c>
      <c r="C13" s="94">
        <v>12</v>
      </c>
      <c r="F13" s="94"/>
      <c r="G13" s="103"/>
    </row>
    <row r="14" spans="1:7" s="97" customFormat="1" ht="12.75">
      <c r="A14" s="97" t="s">
        <v>311</v>
      </c>
      <c r="B14" s="94"/>
      <c r="C14" s="94"/>
      <c r="E14" s="97" t="s">
        <v>8</v>
      </c>
      <c r="F14" s="94"/>
      <c r="G14" s="103"/>
    </row>
    <row r="15" spans="1:7" s="97" customFormat="1" ht="12.75">
      <c r="A15" s="97" t="s">
        <v>237</v>
      </c>
      <c r="B15" s="94">
        <v>220</v>
      </c>
      <c r="C15" s="94">
        <v>216</v>
      </c>
      <c r="E15" s="97" t="s">
        <v>8</v>
      </c>
      <c r="F15" s="94"/>
      <c r="G15" s="103"/>
    </row>
    <row r="16" spans="1:11" s="97" customFormat="1" ht="12.75">
      <c r="A16" s="97" t="s">
        <v>292</v>
      </c>
      <c r="B16" s="94">
        <v>15</v>
      </c>
      <c r="C16" s="94">
        <v>15</v>
      </c>
      <c r="E16" s="97" t="s">
        <v>8</v>
      </c>
      <c r="F16" s="94"/>
      <c r="G16" s="103"/>
      <c r="K16" s="94"/>
    </row>
    <row r="17" spans="1:5" s="97" customFormat="1" ht="12.75">
      <c r="A17" s="97" t="s">
        <v>300</v>
      </c>
      <c r="B17" s="94">
        <f>2481+410+462+45582+25+9379+233+10</f>
        <v>58582</v>
      </c>
      <c r="C17" s="94">
        <f>2444+410+462+44741+25+9274+231+10</f>
        <v>57597</v>
      </c>
      <c r="E17" s="97" t="s">
        <v>8</v>
      </c>
    </row>
    <row r="18" spans="1:5" s="97" customFormat="1" ht="12.75">
      <c r="A18" s="97" t="s">
        <v>301</v>
      </c>
      <c r="B18" s="94"/>
      <c r="C18" s="94"/>
      <c r="E18" s="97" t="s">
        <v>8</v>
      </c>
    </row>
    <row r="19" spans="1:3" s="97" customFormat="1" ht="12.75">
      <c r="A19" s="97" t="s">
        <v>293</v>
      </c>
      <c r="B19" s="94">
        <f>3611+8044+1418+41+14+627+250+240</f>
        <v>14245</v>
      </c>
      <c r="C19" s="94">
        <f>3545+7896+1091+40+14+615+245+236</f>
        <v>13682</v>
      </c>
    </row>
    <row r="20" spans="1:5" s="97" customFormat="1" ht="12.75">
      <c r="A20" s="97" t="s">
        <v>312</v>
      </c>
      <c r="B20" s="94">
        <f>886+6434+8904+74</f>
        <v>16298</v>
      </c>
      <c r="C20" s="94">
        <f>872+6315+8740+73</f>
        <v>16000</v>
      </c>
      <c r="E20" s="97" t="s">
        <v>8</v>
      </c>
    </row>
    <row r="21" spans="1:3" s="97" customFormat="1" ht="12.75">
      <c r="A21" s="97" t="s">
        <v>75</v>
      </c>
      <c r="B21" s="94">
        <f>10266+95+134962+5381+162+416+25+265+240</f>
        <v>151812</v>
      </c>
      <c r="C21" s="94">
        <f>10080+95+104466+5283+159+410+25+261+237</f>
        <v>121016</v>
      </c>
    </row>
    <row r="22" spans="1:7" s="97" customFormat="1" ht="12" customHeight="1">
      <c r="A22" s="97" t="s">
        <v>313</v>
      </c>
      <c r="B22" s="94">
        <v>476</v>
      </c>
      <c r="C22" s="94">
        <v>474</v>
      </c>
      <c r="E22" s="97" t="s">
        <v>8</v>
      </c>
      <c r="G22" s="103"/>
    </row>
    <row r="23" spans="1:5" s="97" customFormat="1" ht="12.75">
      <c r="A23" s="97" t="s">
        <v>295</v>
      </c>
      <c r="B23" s="95">
        <f>1090+3386+162+140484+838+995+25+2110+123+12674+3990+738+58+1897</f>
        <v>168570</v>
      </c>
      <c r="C23" s="95">
        <f>1078+3326+162+137883+823+976+25+2071+121+12469+3916+724+57+1864</f>
        <v>165495</v>
      </c>
      <c r="D23" s="94"/>
      <c r="E23" s="97" t="s">
        <v>8</v>
      </c>
    </row>
    <row r="24" spans="1:6" s="97" customFormat="1" ht="12.75">
      <c r="A24" s="97" t="s">
        <v>294</v>
      </c>
      <c r="B24" s="95"/>
      <c r="C24" s="95"/>
      <c r="E24" s="97" t="s">
        <v>8</v>
      </c>
      <c r="F24" s="94"/>
    </row>
    <row r="25" spans="1:6" s="97" customFormat="1" ht="12.75">
      <c r="A25" s="97" t="s">
        <v>302</v>
      </c>
      <c r="B25" s="94">
        <v>134119</v>
      </c>
      <c r="C25" s="94">
        <v>97914</v>
      </c>
      <c r="E25" s="97" t="s">
        <v>8</v>
      </c>
      <c r="F25" s="94"/>
    </row>
    <row r="26" spans="1:6" s="97" customFormat="1" ht="12.75">
      <c r="A26" s="97" t="s">
        <v>296</v>
      </c>
      <c r="B26" s="215">
        <v>190818</v>
      </c>
      <c r="C26" s="215">
        <v>187313</v>
      </c>
      <c r="F26" s="94"/>
    </row>
    <row r="27" spans="1:11" ht="12.75">
      <c r="A27" s="97" t="s">
        <v>334</v>
      </c>
      <c r="B27" s="94">
        <v>40</v>
      </c>
      <c r="C27" s="94">
        <v>39</v>
      </c>
      <c r="D27" s="97"/>
      <c r="E27" s="33"/>
      <c r="F27" s="33"/>
      <c r="J27" s="97"/>
      <c r="K27" s="97"/>
    </row>
    <row r="28" spans="1:4" s="90" customFormat="1" ht="12.75">
      <c r="A28" s="97" t="s">
        <v>303</v>
      </c>
      <c r="B28" s="101">
        <f>60991+349+73823+3062+86655+5133+47076+701+47247+749+40825+58+42557+45017+39169+48785+3111+49635+57288+28061</f>
        <v>680292</v>
      </c>
      <c r="C28" s="101">
        <f>60991+349+73823+3062+86655+5133+47074+701+47247+749+40825+58+45016+42557+39169+48785+3111+49635+57288+28061</f>
        <v>680289</v>
      </c>
      <c r="D28" s="104"/>
    </row>
    <row r="29" spans="1:4" s="90" customFormat="1" ht="12.75">
      <c r="A29" s="90" t="s">
        <v>13</v>
      </c>
      <c r="B29" s="96">
        <f>SUM(B7:B28)</f>
        <v>1490640</v>
      </c>
      <c r="C29" s="96">
        <f>SUM(C7:C28)</f>
        <v>1413378</v>
      </c>
      <c r="D29" s="104"/>
    </row>
    <row r="30" spans="1:11" ht="12.75">
      <c r="A30" s="90" t="s">
        <v>349</v>
      </c>
      <c r="B30" s="94">
        <f>B29-B28</f>
        <v>810348</v>
      </c>
      <c r="C30" s="94">
        <f>C29-C28</f>
        <v>733089</v>
      </c>
      <c r="D30" s="97"/>
      <c r="J30" s="97"/>
      <c r="K30" s="97"/>
    </row>
    <row r="31" spans="1:11" ht="12.75">
      <c r="A31" s="213" t="s">
        <v>350</v>
      </c>
      <c r="B31" s="94"/>
      <c r="C31" s="216">
        <f>B30-C30</f>
        <v>77259</v>
      </c>
      <c r="D31" s="214" t="s">
        <v>382</v>
      </c>
      <c r="H31" t="s">
        <v>8</v>
      </c>
      <c r="I31" t="s">
        <v>8</v>
      </c>
      <c r="J31" s="97"/>
      <c r="K31" s="97"/>
    </row>
    <row r="32" spans="2:11" ht="12.75">
      <c r="B32" s="94"/>
      <c r="C32" s="94"/>
      <c r="D32" s="97"/>
      <c r="E32" s="32" t="s">
        <v>8</v>
      </c>
      <c r="H32" s="9" t="s">
        <v>8</v>
      </c>
      <c r="I32" s="9" t="s">
        <v>8</v>
      </c>
      <c r="J32" s="97"/>
      <c r="K32" s="97"/>
    </row>
    <row r="33" spans="1:11" ht="12.75">
      <c r="A33" s="97" t="s">
        <v>238</v>
      </c>
      <c r="B33" s="211">
        <v>820468</v>
      </c>
      <c r="C33" s="212">
        <v>765954</v>
      </c>
      <c r="D33" s="97"/>
      <c r="E33" s="32" t="s">
        <v>8</v>
      </c>
      <c r="H33" t="s">
        <v>8</v>
      </c>
      <c r="J33" s="97"/>
      <c r="K33" s="97"/>
    </row>
    <row r="34" spans="1:11" ht="12.75">
      <c r="A34" s="97" t="s">
        <v>239</v>
      </c>
      <c r="B34" s="101">
        <f>39947+114020+171377+34090+65107+26504+38534+21740+22252+37990+29799+56177</f>
        <v>657537</v>
      </c>
      <c r="C34" s="101">
        <f>39947+114020+171377+34090+65107+26504+38534+21740+22252+37990+29799+56177</f>
        <v>657537</v>
      </c>
      <c r="J34" s="97"/>
      <c r="K34" s="97"/>
    </row>
    <row r="35" spans="1:11" ht="12.75">
      <c r="A35" s="8" t="s">
        <v>13</v>
      </c>
      <c r="B35" s="92">
        <f>SUM(B33:B34)</f>
        <v>1478005</v>
      </c>
      <c r="C35" s="92">
        <f>SUM(C33:C34)</f>
        <v>1423491</v>
      </c>
      <c r="J35" s="97"/>
      <c r="K35" s="97"/>
    </row>
    <row r="36" spans="1:11" ht="12.75">
      <c r="A36" s="32" t="s">
        <v>351</v>
      </c>
      <c r="C36" s="216">
        <f>B33-C33</f>
        <v>54514</v>
      </c>
      <c r="D36" s="214" t="s">
        <v>382</v>
      </c>
      <c r="J36" s="97"/>
      <c r="K36" s="97"/>
    </row>
    <row r="37" spans="10:11" ht="12.75">
      <c r="J37" s="97"/>
      <c r="K37" s="97"/>
    </row>
    <row r="38" spans="2:11" ht="12.75">
      <c r="B38" s="33" t="s">
        <v>8</v>
      </c>
      <c r="C38" s="33" t="s">
        <v>8</v>
      </c>
      <c r="J38" s="97"/>
      <c r="K38" s="97"/>
    </row>
    <row r="39" spans="2:11" ht="12.75">
      <c r="B39" s="33"/>
      <c r="J39" s="97"/>
      <c r="K39" s="97"/>
    </row>
    <row r="40" spans="10:11" ht="12.75">
      <c r="J40" s="97"/>
      <c r="K40" s="97"/>
    </row>
    <row r="41" spans="2:11" ht="12.75">
      <c r="B41" s="33"/>
      <c r="J41" s="97"/>
      <c r="K41" s="97"/>
    </row>
    <row r="42" spans="10:11" ht="12.75">
      <c r="J42" s="97"/>
      <c r="K42" s="97"/>
    </row>
    <row r="43" spans="10:11" ht="12.75">
      <c r="J43" s="97"/>
      <c r="K43" s="97"/>
    </row>
    <row r="44" spans="10:11" ht="12.75">
      <c r="J44" s="97"/>
      <c r="K44" s="97"/>
    </row>
    <row r="45" spans="10:11" ht="12.75">
      <c r="J45" s="97"/>
      <c r="K45" s="97"/>
    </row>
    <row r="46" spans="10:11" ht="12.75">
      <c r="J46" s="97"/>
      <c r="K46" s="97"/>
    </row>
    <row r="47" spans="10:11" ht="409.5">
      <c r="J47" s="97"/>
      <c r="K47" s="97"/>
    </row>
    <row r="48" spans="10:11" ht="409.5">
      <c r="J48" s="97"/>
      <c r="K48" s="97"/>
    </row>
    <row r="49" spans="10:11" ht="12.75">
      <c r="J49" s="97"/>
      <c r="K49" s="97"/>
    </row>
  </sheetData>
  <sheetProtection/>
  <printOptions gridLines="1" horizontalCentered="1" verticalCentered="1"/>
  <pageMargins left="0.75" right="0.75" top="1" bottom="1" header="0.5" footer="0.5"/>
  <pageSetup horizontalDpi="300" verticalDpi="300" orientation="portrait" scale="130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2" sqref="A1:A2"/>
    </sheetView>
  </sheetViews>
  <sheetFormatPr defaultColWidth="9.140625" defaultRowHeight="12.75"/>
  <cols>
    <col min="1" max="1" width="20.57421875" style="0" customWidth="1"/>
    <col min="2" max="2" width="15.8515625" style="0" customWidth="1"/>
    <col min="3" max="5" width="7.8515625" style="0" customWidth="1"/>
    <col min="6" max="6" width="5.57421875" style="0" customWidth="1"/>
    <col min="7" max="7" width="17.8515625" style="0" customWidth="1"/>
    <col min="8" max="8" width="11.28125" style="0" customWidth="1"/>
    <col min="9" max="9" width="6.57421875" style="0" customWidth="1"/>
  </cols>
  <sheetData>
    <row r="1" ht="12.75">
      <c r="A1" s="8" t="s">
        <v>433</v>
      </c>
    </row>
    <row r="2" ht="12.75">
      <c r="A2" s="8" t="s">
        <v>428</v>
      </c>
    </row>
    <row r="5" ht="22.5">
      <c r="B5" s="82" t="s">
        <v>366</v>
      </c>
    </row>
    <row r="8" spans="1:8" ht="13.5" thickBot="1">
      <c r="A8" s="28" t="s">
        <v>31</v>
      </c>
      <c r="B8" s="2"/>
      <c r="C8" s="41" t="s">
        <v>32</v>
      </c>
      <c r="D8" s="2"/>
      <c r="E8" s="2"/>
      <c r="F8" s="2" t="s">
        <v>33</v>
      </c>
      <c r="G8" s="2" t="s">
        <v>34</v>
      </c>
      <c r="H8" s="2"/>
    </row>
    <row r="9" spans="1:9" ht="12.75">
      <c r="A9" s="2"/>
      <c r="B9" s="2"/>
      <c r="C9" s="2" t="s">
        <v>35</v>
      </c>
      <c r="D9" s="2" t="s">
        <v>36</v>
      </c>
      <c r="E9" s="2" t="s">
        <v>37</v>
      </c>
      <c r="F9" s="2" t="s">
        <v>38</v>
      </c>
      <c r="G9" s="52" t="s">
        <v>39</v>
      </c>
      <c r="H9" s="41" t="s">
        <v>40</v>
      </c>
      <c r="I9" s="41" t="s">
        <v>41</v>
      </c>
    </row>
    <row r="10" spans="1:9" ht="12.75">
      <c r="A10" s="28" t="s">
        <v>42</v>
      </c>
      <c r="B10" s="2" t="s">
        <v>43</v>
      </c>
      <c r="C10" s="2">
        <v>0.185</v>
      </c>
      <c r="D10" s="2">
        <v>0.285</v>
      </c>
      <c r="E10" s="2">
        <v>0.185</v>
      </c>
      <c r="F10" s="2">
        <f>SUM(C10:E10)</f>
        <v>0.655</v>
      </c>
      <c r="G10" s="50">
        <v>1106.13</v>
      </c>
      <c r="H10" s="49">
        <f>G10*F10</f>
        <v>724.5151500000001</v>
      </c>
      <c r="I10" s="48">
        <f>H10*(8760*0.944)/1000</f>
        <v>5991.334562015999</v>
      </c>
    </row>
    <row r="11" spans="1:9" ht="12.75">
      <c r="A11" s="29" t="s">
        <v>44</v>
      </c>
      <c r="B11" s="41" t="s">
        <v>45</v>
      </c>
      <c r="C11" s="2">
        <v>10.527</v>
      </c>
      <c r="D11" s="2">
        <v>16.183</v>
      </c>
      <c r="E11" s="2">
        <v>10.527</v>
      </c>
      <c r="F11" s="2">
        <f>SUM(C11:E11)</f>
        <v>37.237</v>
      </c>
      <c r="G11" s="50">
        <v>1106.13</v>
      </c>
      <c r="H11" s="49">
        <f>G11*F11</f>
        <v>41188.962810000005</v>
      </c>
      <c r="I11" s="48">
        <f>H11*(8760*0.056)/1000</f>
        <v>20205.6575960736</v>
      </c>
    </row>
    <row r="12" spans="1:9" ht="12.75">
      <c r="A12" s="28" t="s">
        <v>46</v>
      </c>
      <c r="B12" s="2" t="s">
        <v>47</v>
      </c>
      <c r="C12" s="2"/>
      <c r="D12" s="2"/>
      <c r="E12" s="2"/>
      <c r="F12" s="42">
        <f>(28*6*4*3.96)/1000</f>
        <v>2.66112</v>
      </c>
      <c r="G12" s="50">
        <v>1106.13</v>
      </c>
      <c r="H12" s="49">
        <f>G12*F12</f>
        <v>2943.5446656000004</v>
      </c>
      <c r="I12" s="48">
        <f>H12*(8760*1)/1000</f>
        <v>25785.451270656005</v>
      </c>
    </row>
    <row r="14" spans="8:9" ht="12.75">
      <c r="H14" s="41" t="s">
        <v>214</v>
      </c>
      <c r="I14" s="48">
        <f>SUM(I10:I12)</f>
        <v>51982.44342874561</v>
      </c>
    </row>
    <row r="16" spans="1:7" ht="13.5" thickBot="1">
      <c r="A16" t="s">
        <v>48</v>
      </c>
      <c r="C16" s="41" t="s">
        <v>32</v>
      </c>
      <c r="D16" s="2"/>
      <c r="E16" s="2"/>
      <c r="F16" s="2" t="s">
        <v>33</v>
      </c>
      <c r="G16" s="2" t="s">
        <v>34</v>
      </c>
    </row>
    <row r="17" spans="1:9" ht="12.75">
      <c r="A17" s="2"/>
      <c r="B17" s="2"/>
      <c r="C17" s="2" t="s">
        <v>35</v>
      </c>
      <c r="D17" s="2" t="s">
        <v>36</v>
      </c>
      <c r="E17" s="2" t="s">
        <v>37</v>
      </c>
      <c r="F17" s="2" t="s">
        <v>38</v>
      </c>
      <c r="G17" s="51" t="s">
        <v>49</v>
      </c>
      <c r="H17" s="41" t="s">
        <v>40</v>
      </c>
      <c r="I17" s="2" t="s">
        <v>41</v>
      </c>
    </row>
    <row r="18" spans="1:9" ht="12.75">
      <c r="A18" t="s">
        <v>50</v>
      </c>
      <c r="B18" s="2" t="s">
        <v>43</v>
      </c>
      <c r="C18" s="2">
        <v>0.02</v>
      </c>
      <c r="D18" s="2">
        <v>0.031</v>
      </c>
      <c r="E18" s="2">
        <v>0.02</v>
      </c>
      <c r="F18" s="2">
        <f>SUM(C18:E18)</f>
        <v>0.07100000000000001</v>
      </c>
      <c r="G18" s="50">
        <v>3187.91</v>
      </c>
      <c r="H18" s="49">
        <f>G18*F18</f>
        <v>226.34161</v>
      </c>
      <c r="I18" s="48">
        <f>H18*(8760*0.944)/1000</f>
        <v>1871.7183633983996</v>
      </c>
    </row>
    <row r="19" spans="1:9" ht="12.75">
      <c r="A19" t="s">
        <v>50</v>
      </c>
      <c r="B19" s="41" t="s">
        <v>45</v>
      </c>
      <c r="C19" s="2">
        <v>1.158</v>
      </c>
      <c r="D19" s="2">
        <v>1.766</v>
      </c>
      <c r="E19" s="2">
        <v>1.158</v>
      </c>
      <c r="F19" s="2">
        <f>SUM(C19:E19)</f>
        <v>4.082</v>
      </c>
      <c r="G19" s="50">
        <v>3187.91</v>
      </c>
      <c r="H19" s="49">
        <f>G19*F19</f>
        <v>13013.04862</v>
      </c>
      <c r="I19" s="48">
        <f>H19*(8760*0.056)/1000</f>
        <v>6383.6811310272005</v>
      </c>
    </row>
    <row r="20" spans="1:9" ht="12.75">
      <c r="A20" t="s">
        <v>51</v>
      </c>
      <c r="B20" s="41" t="s">
        <v>52</v>
      </c>
      <c r="C20" s="2"/>
      <c r="D20" s="2"/>
      <c r="E20" s="2"/>
      <c r="F20" s="42">
        <v>1.2</v>
      </c>
      <c r="G20" s="50">
        <v>3187.91</v>
      </c>
      <c r="H20" s="49">
        <f>G20*F20</f>
        <v>3825.4919999999997</v>
      </c>
      <c r="I20" s="48">
        <f>H20*(8760*1)/1000</f>
        <v>33511.30992</v>
      </c>
    </row>
    <row r="21" spans="2:9" ht="12.75">
      <c r="B21" s="41"/>
      <c r="C21" s="2"/>
      <c r="D21" s="2"/>
      <c r="E21" s="2"/>
      <c r="F21" s="42"/>
      <c r="G21" s="2"/>
      <c r="H21" s="49"/>
      <c r="I21" s="48"/>
    </row>
    <row r="22" spans="8:9" ht="12.75">
      <c r="H22" s="43" t="s">
        <v>53</v>
      </c>
      <c r="I22" s="48">
        <f>SUM(I18:I20)</f>
        <v>41766.7094144256</v>
      </c>
    </row>
    <row r="23" spans="8:9" ht="12.75">
      <c r="H23" s="44" t="s">
        <v>54</v>
      </c>
      <c r="I23" s="48">
        <f>I14</f>
        <v>51982.44342874561</v>
      </c>
    </row>
    <row r="24" spans="8:10" ht="12.75">
      <c r="H24" s="44" t="s">
        <v>55</v>
      </c>
      <c r="I24" s="48">
        <f>SUM(I22:I23)</f>
        <v>93749.1528431712</v>
      </c>
      <c r="J24" s="88"/>
    </row>
    <row r="28" ht="12.75">
      <c r="A28" s="32" t="s">
        <v>342</v>
      </c>
    </row>
  </sheetData>
  <sheetProtection/>
  <printOptions gridLines="1" horizontalCentered="1" verticalCentered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1">
      <pane ySplit="5" topLeftCell="A6" activePane="bottomLeft" state="frozen"/>
      <selection pane="topLeft" activeCell="A1" sqref="A1:AT16384"/>
      <selection pane="bottomLeft" activeCell="A2" sqref="A1:A2"/>
    </sheetView>
  </sheetViews>
  <sheetFormatPr defaultColWidth="9.140625" defaultRowHeight="12.75"/>
  <cols>
    <col min="1" max="1" width="16.28125" style="0" customWidth="1"/>
    <col min="2" max="2" width="8.140625" style="0" customWidth="1"/>
    <col min="3" max="3" width="8.57421875" style="0" customWidth="1"/>
    <col min="4" max="6" width="7.57421875" style="0" customWidth="1"/>
    <col min="7" max="8" width="6.57421875" style="0" customWidth="1"/>
    <col min="9" max="9" width="6.7109375" style="0" customWidth="1"/>
    <col min="10" max="10" width="16.421875" style="2" customWidth="1"/>
    <col min="11" max="11" width="14.140625" style="2" customWidth="1"/>
    <col min="12" max="12" width="10.57421875" style="2" customWidth="1"/>
    <col min="13" max="14" width="8.00390625" style="0" customWidth="1"/>
    <col min="15" max="15" width="10.8515625" style="0" customWidth="1"/>
    <col min="16" max="16" width="8.421875" style="0" customWidth="1"/>
  </cols>
  <sheetData>
    <row r="1" ht="12.75">
      <c r="A1" s="8" t="s">
        <v>434</v>
      </c>
    </row>
    <row r="2" ht="12.75">
      <c r="A2" s="8" t="s">
        <v>428</v>
      </c>
    </row>
    <row r="3" ht="13.5" thickBot="1"/>
    <row r="4" spans="1:16" ht="12.75">
      <c r="A4" s="23"/>
      <c r="B4" s="63"/>
      <c r="C4" s="61" t="s">
        <v>77</v>
      </c>
      <c r="D4" s="24" t="s">
        <v>78</v>
      </c>
      <c r="E4" s="24"/>
      <c r="F4" s="24"/>
      <c r="G4" s="24"/>
      <c r="H4" s="24"/>
      <c r="I4" s="24"/>
      <c r="J4" s="23"/>
      <c r="K4" s="58" t="s">
        <v>79</v>
      </c>
      <c r="L4" s="58"/>
      <c r="M4" s="40" t="s">
        <v>80</v>
      </c>
      <c r="N4" s="25"/>
      <c r="O4" s="25"/>
      <c r="P4" s="25"/>
    </row>
    <row r="5" spans="1:16" ht="12.75">
      <c r="A5" s="53" t="s">
        <v>81</v>
      </c>
      <c r="B5" s="64" t="s">
        <v>82</v>
      </c>
      <c r="C5" s="62" t="s">
        <v>83</v>
      </c>
      <c r="D5" s="22" t="s">
        <v>84</v>
      </c>
      <c r="E5" s="22" t="s">
        <v>85</v>
      </c>
      <c r="F5" s="22" t="s">
        <v>86</v>
      </c>
      <c r="G5" s="22" t="s">
        <v>87</v>
      </c>
      <c r="H5" s="22" t="s">
        <v>88</v>
      </c>
      <c r="I5" s="22" t="s">
        <v>89</v>
      </c>
      <c r="J5" s="21" t="s">
        <v>78</v>
      </c>
      <c r="K5" s="60" t="s">
        <v>90</v>
      </c>
      <c r="L5" s="59" t="s">
        <v>91</v>
      </c>
      <c r="M5" s="57" t="s">
        <v>92</v>
      </c>
      <c r="N5" s="26" t="s">
        <v>11</v>
      </c>
      <c r="O5" s="26" t="s">
        <v>93</v>
      </c>
      <c r="P5" s="26" t="s">
        <v>91</v>
      </c>
    </row>
    <row r="6" spans="1:16" ht="12.75">
      <c r="A6" s="22" t="s">
        <v>94</v>
      </c>
      <c r="B6" s="22">
        <v>55</v>
      </c>
      <c r="C6" s="22">
        <v>138</v>
      </c>
      <c r="D6" s="22"/>
      <c r="E6" s="22"/>
      <c r="F6" s="22"/>
      <c r="G6" s="22"/>
      <c r="H6" s="22">
        <v>1</v>
      </c>
      <c r="I6" s="22"/>
      <c r="J6" s="45">
        <f aca="true" t="shared" si="0" ref="J6:J128">IF(SUM(D6:I6)&gt;0,SUM(D6:I6),0)</f>
        <v>1</v>
      </c>
      <c r="K6" s="54">
        <v>1</v>
      </c>
      <c r="L6" s="54">
        <v>4</v>
      </c>
      <c r="M6" s="7">
        <f aca="true" t="shared" si="1" ref="M6:M39">IF(J6&gt;0,($L$142+$L$143)/10^3/24,($L$142+$L$144)/10^3/24)</f>
        <v>0.0030416666666666665</v>
      </c>
      <c r="N6" s="7">
        <f aca="true" t="shared" si="2" ref="N6:N39">J6*$L$147/10^3/24</f>
        <v>0.030708333333333334</v>
      </c>
      <c r="O6" s="7">
        <f aca="true" t="shared" si="3" ref="O6:O39">K6*$L$146/10^6</f>
        <v>0.00014</v>
      </c>
      <c r="P6" s="7">
        <f aca="true" t="shared" si="4" ref="P6:P39">L6*$L$145/10^6</f>
        <v>0.00076</v>
      </c>
    </row>
    <row r="7" spans="1:16" ht="12.75">
      <c r="A7" s="22" t="s">
        <v>95</v>
      </c>
      <c r="B7" s="22">
        <v>229</v>
      </c>
      <c r="C7" s="22">
        <v>115</v>
      </c>
      <c r="D7" s="22"/>
      <c r="E7" s="22"/>
      <c r="F7" s="22"/>
      <c r="G7" s="22"/>
      <c r="H7" s="22"/>
      <c r="I7" s="22"/>
      <c r="J7" s="45">
        <f t="shared" si="0"/>
        <v>0</v>
      </c>
      <c r="K7" s="54">
        <v>1</v>
      </c>
      <c r="L7" s="54">
        <v>2</v>
      </c>
      <c r="M7" s="7">
        <f t="shared" si="1"/>
        <v>0.002625</v>
      </c>
      <c r="N7" s="7">
        <f t="shared" si="2"/>
        <v>0</v>
      </c>
      <c r="O7" s="7">
        <f t="shared" si="3"/>
        <v>0.00014</v>
      </c>
      <c r="P7" s="7">
        <f t="shared" si="4"/>
        <v>0.00038</v>
      </c>
    </row>
    <row r="8" spans="1:16" ht="12.75">
      <c r="A8" s="22" t="s">
        <v>96</v>
      </c>
      <c r="B8" s="22">
        <v>301</v>
      </c>
      <c r="C8" s="22">
        <v>138</v>
      </c>
      <c r="D8" s="22"/>
      <c r="E8" s="22"/>
      <c r="F8" s="22"/>
      <c r="G8" s="22"/>
      <c r="H8" s="22"/>
      <c r="I8" s="22"/>
      <c r="J8" s="45">
        <f t="shared" si="0"/>
        <v>0</v>
      </c>
      <c r="K8" s="54">
        <v>0</v>
      </c>
      <c r="L8" s="54">
        <v>4</v>
      </c>
      <c r="M8" s="7">
        <f t="shared" si="1"/>
        <v>0.002625</v>
      </c>
      <c r="N8" s="7">
        <f t="shared" si="2"/>
        <v>0</v>
      </c>
      <c r="O8" s="7">
        <f t="shared" si="3"/>
        <v>0</v>
      </c>
      <c r="P8" s="7">
        <f t="shared" si="4"/>
        <v>0.00076</v>
      </c>
    </row>
    <row r="9" spans="1:16" ht="12.75">
      <c r="A9" s="22" t="s">
        <v>97</v>
      </c>
      <c r="B9" s="22">
        <v>390</v>
      </c>
      <c r="C9" s="22">
        <v>230</v>
      </c>
      <c r="D9" s="22"/>
      <c r="E9" s="22">
        <v>2</v>
      </c>
      <c r="F9" s="22"/>
      <c r="G9" s="22"/>
      <c r="H9" s="22"/>
      <c r="I9" s="22"/>
      <c r="J9" s="45">
        <f t="shared" si="0"/>
        <v>2</v>
      </c>
      <c r="K9" s="54">
        <v>6</v>
      </c>
      <c r="L9" s="54">
        <v>13</v>
      </c>
      <c r="M9" s="7">
        <f t="shared" si="1"/>
        <v>0.0030416666666666665</v>
      </c>
      <c r="N9" s="7">
        <f t="shared" si="2"/>
        <v>0.06141666666666667</v>
      </c>
      <c r="O9" s="7">
        <f t="shared" si="3"/>
        <v>0.00084</v>
      </c>
      <c r="P9" s="7">
        <f t="shared" si="4"/>
        <v>0.00247</v>
      </c>
    </row>
    <row r="10" spans="1:16" ht="12.75">
      <c r="A10" s="22" t="s">
        <v>98</v>
      </c>
      <c r="B10" s="22">
        <v>480</v>
      </c>
      <c r="C10" s="22">
        <v>500</v>
      </c>
      <c r="D10" s="22">
        <v>6</v>
      </c>
      <c r="E10" s="22"/>
      <c r="F10" s="22"/>
      <c r="G10" s="22"/>
      <c r="H10" s="22"/>
      <c r="I10" s="22"/>
      <c r="J10" s="45">
        <f t="shared" si="0"/>
        <v>6</v>
      </c>
      <c r="K10" s="54">
        <v>11</v>
      </c>
      <c r="L10" s="54">
        <v>24</v>
      </c>
      <c r="M10" s="7">
        <f t="shared" si="1"/>
        <v>0.0030416666666666665</v>
      </c>
      <c r="N10" s="7">
        <f t="shared" si="2"/>
        <v>0.18425</v>
      </c>
      <c r="O10" s="7">
        <f t="shared" si="3"/>
        <v>0.00154</v>
      </c>
      <c r="P10" s="7">
        <f t="shared" si="4"/>
        <v>0.00456</v>
      </c>
    </row>
    <row r="11" spans="1:16" ht="12.75">
      <c r="A11" s="22" t="s">
        <v>99</v>
      </c>
      <c r="B11" s="22">
        <v>63</v>
      </c>
      <c r="C11" s="22">
        <v>69</v>
      </c>
      <c r="D11" s="22"/>
      <c r="E11" s="22"/>
      <c r="F11" s="22"/>
      <c r="G11" s="22"/>
      <c r="H11" s="22"/>
      <c r="I11" s="22"/>
      <c r="J11" s="45">
        <f t="shared" si="0"/>
        <v>0</v>
      </c>
      <c r="K11" s="54">
        <v>0</v>
      </c>
      <c r="L11" s="54">
        <v>2</v>
      </c>
      <c r="M11" s="7">
        <f t="shared" si="1"/>
        <v>0.002625</v>
      </c>
      <c r="N11" s="7">
        <f t="shared" si="2"/>
        <v>0</v>
      </c>
      <c r="O11" s="7">
        <f t="shared" si="3"/>
        <v>0</v>
      </c>
      <c r="P11" s="7">
        <f t="shared" si="4"/>
        <v>0.00038</v>
      </c>
    </row>
    <row r="12" spans="1:16" ht="12.75">
      <c r="A12" s="22" t="s">
        <v>100</v>
      </c>
      <c r="B12" s="22">
        <v>329</v>
      </c>
      <c r="C12" s="22">
        <v>138</v>
      </c>
      <c r="D12" s="22"/>
      <c r="E12" s="22"/>
      <c r="F12" s="22"/>
      <c r="G12" s="22"/>
      <c r="H12" s="22"/>
      <c r="I12" s="22"/>
      <c r="J12" s="45">
        <f t="shared" si="0"/>
        <v>0</v>
      </c>
      <c r="K12" s="54">
        <v>5</v>
      </c>
      <c r="L12" s="54">
        <v>4</v>
      </c>
      <c r="M12" s="7">
        <f t="shared" si="1"/>
        <v>0.002625</v>
      </c>
      <c r="N12" s="7">
        <f t="shared" si="2"/>
        <v>0</v>
      </c>
      <c r="O12" s="7">
        <f t="shared" si="3"/>
        <v>0.0007</v>
      </c>
      <c r="P12" s="7">
        <f t="shared" si="4"/>
        <v>0.00076</v>
      </c>
    </row>
    <row r="13" spans="1:16" ht="12.75">
      <c r="A13" s="22" t="s">
        <v>101</v>
      </c>
      <c r="B13" s="22">
        <v>823</v>
      </c>
      <c r="C13" s="22">
        <v>230</v>
      </c>
      <c r="D13" s="22"/>
      <c r="E13" s="22"/>
      <c r="F13" s="22">
        <v>1</v>
      </c>
      <c r="G13" s="22"/>
      <c r="H13" s="22"/>
      <c r="I13" s="22"/>
      <c r="J13" s="45">
        <f t="shared" si="0"/>
        <v>1</v>
      </c>
      <c r="K13" s="54">
        <v>0</v>
      </c>
      <c r="L13" s="54">
        <v>7</v>
      </c>
      <c r="M13" s="7">
        <f t="shared" si="1"/>
        <v>0.0030416666666666665</v>
      </c>
      <c r="N13" s="7">
        <f t="shared" si="2"/>
        <v>0.030708333333333334</v>
      </c>
      <c r="O13" s="7">
        <f t="shared" si="3"/>
        <v>0</v>
      </c>
      <c r="P13" s="7">
        <f t="shared" si="4"/>
        <v>0.00133</v>
      </c>
    </row>
    <row r="14" spans="1:16" ht="12.75">
      <c r="A14" s="22" t="s">
        <v>211</v>
      </c>
      <c r="B14" s="22">
        <v>945</v>
      </c>
      <c r="C14" s="22">
        <v>230</v>
      </c>
      <c r="D14" s="22"/>
      <c r="E14" s="22">
        <v>1</v>
      </c>
      <c r="F14" s="22"/>
      <c r="G14" s="22"/>
      <c r="H14" s="22"/>
      <c r="I14" s="22"/>
      <c r="J14" s="45">
        <v>1</v>
      </c>
      <c r="K14" s="54">
        <v>1</v>
      </c>
      <c r="L14" s="54">
        <v>6</v>
      </c>
      <c r="M14" s="7">
        <f t="shared" si="1"/>
        <v>0.0030416666666666665</v>
      </c>
      <c r="N14" s="7">
        <f t="shared" si="2"/>
        <v>0.030708333333333334</v>
      </c>
      <c r="O14" s="7">
        <f t="shared" si="3"/>
        <v>0.00014</v>
      </c>
      <c r="P14" s="7">
        <f t="shared" si="4"/>
        <v>0.00114</v>
      </c>
    </row>
    <row r="15" spans="1:16" ht="12.75">
      <c r="A15" s="22" t="s">
        <v>102</v>
      </c>
      <c r="B15" s="22">
        <v>555</v>
      </c>
      <c r="C15" s="22">
        <v>69</v>
      </c>
      <c r="D15" s="22"/>
      <c r="E15" s="22"/>
      <c r="F15" s="22"/>
      <c r="G15" s="22"/>
      <c r="H15" s="22"/>
      <c r="I15" s="22"/>
      <c r="J15" s="45">
        <f t="shared" si="0"/>
        <v>0</v>
      </c>
      <c r="K15" s="54">
        <v>0</v>
      </c>
      <c r="L15" s="54">
        <v>2</v>
      </c>
      <c r="M15" s="7">
        <f t="shared" si="1"/>
        <v>0.002625</v>
      </c>
      <c r="N15" s="7">
        <f t="shared" si="2"/>
        <v>0</v>
      </c>
      <c r="O15" s="7">
        <f t="shared" si="3"/>
        <v>0</v>
      </c>
      <c r="P15" s="7">
        <f t="shared" si="4"/>
        <v>0.00038</v>
      </c>
    </row>
    <row r="16" spans="1:16" ht="12.75">
      <c r="A16" s="22" t="s">
        <v>215</v>
      </c>
      <c r="B16" s="22">
        <v>46</v>
      </c>
      <c r="C16" s="22">
        <v>230</v>
      </c>
      <c r="D16" s="22"/>
      <c r="E16" s="22"/>
      <c r="F16" s="22">
        <v>1</v>
      </c>
      <c r="G16" s="22"/>
      <c r="H16" s="22"/>
      <c r="I16" s="22"/>
      <c r="J16" s="65">
        <f t="shared" si="0"/>
        <v>1</v>
      </c>
      <c r="K16" s="54">
        <v>1</v>
      </c>
      <c r="L16" s="54">
        <v>4</v>
      </c>
      <c r="M16" s="7">
        <f t="shared" si="1"/>
        <v>0.0030416666666666665</v>
      </c>
      <c r="N16" s="7">
        <f t="shared" si="2"/>
        <v>0.030708333333333334</v>
      </c>
      <c r="O16" s="7">
        <f t="shared" si="3"/>
        <v>0.00014</v>
      </c>
      <c r="P16" s="7">
        <f t="shared" si="4"/>
        <v>0.00076</v>
      </c>
    </row>
    <row r="17" spans="1:16" ht="12.75">
      <c r="A17" s="22" t="s">
        <v>103</v>
      </c>
      <c r="B17" s="22">
        <v>70</v>
      </c>
      <c r="C17" s="22">
        <v>138</v>
      </c>
      <c r="D17" s="22"/>
      <c r="E17" s="22"/>
      <c r="F17" s="22"/>
      <c r="G17" s="22"/>
      <c r="H17" s="22"/>
      <c r="I17" s="22"/>
      <c r="J17" s="45">
        <f t="shared" si="0"/>
        <v>0</v>
      </c>
      <c r="K17" s="54">
        <v>0</v>
      </c>
      <c r="L17" s="54">
        <v>2</v>
      </c>
      <c r="M17" s="7">
        <f t="shared" si="1"/>
        <v>0.002625</v>
      </c>
      <c r="N17" s="7">
        <f t="shared" si="2"/>
        <v>0</v>
      </c>
      <c r="O17" s="7">
        <f t="shared" si="3"/>
        <v>0</v>
      </c>
      <c r="P17" s="7">
        <f t="shared" si="4"/>
        <v>0.00038</v>
      </c>
    </row>
    <row r="18" spans="1:16" ht="12.75">
      <c r="A18" s="22" t="s">
        <v>104</v>
      </c>
      <c r="B18" s="22">
        <v>395</v>
      </c>
      <c r="C18" s="22">
        <v>230</v>
      </c>
      <c r="D18" s="22"/>
      <c r="E18" s="22">
        <v>1</v>
      </c>
      <c r="F18" s="22">
        <v>2</v>
      </c>
      <c r="H18" s="22"/>
      <c r="I18" s="22"/>
      <c r="J18" s="45">
        <f t="shared" si="0"/>
        <v>3</v>
      </c>
      <c r="K18" s="54">
        <v>5</v>
      </c>
      <c r="L18" s="54">
        <v>10</v>
      </c>
      <c r="M18" s="7">
        <f t="shared" si="1"/>
        <v>0.0030416666666666665</v>
      </c>
      <c r="N18" s="7">
        <f t="shared" si="2"/>
        <v>0.092125</v>
      </c>
      <c r="O18" s="7">
        <f t="shared" si="3"/>
        <v>0.0007</v>
      </c>
      <c r="P18" s="7">
        <f t="shared" si="4"/>
        <v>0.0019</v>
      </c>
    </row>
    <row r="19" spans="1:16" ht="12.75">
      <c r="A19" s="22" t="s">
        <v>105</v>
      </c>
      <c r="B19" s="22">
        <v>150</v>
      </c>
      <c r="C19" s="22">
        <v>230</v>
      </c>
      <c r="D19" s="22"/>
      <c r="E19" s="22">
        <v>2</v>
      </c>
      <c r="F19" s="22"/>
      <c r="G19" s="22"/>
      <c r="H19" s="22"/>
      <c r="I19" s="22"/>
      <c r="J19" s="45">
        <f t="shared" si="0"/>
        <v>2</v>
      </c>
      <c r="K19" s="54">
        <v>0</v>
      </c>
      <c r="L19" s="54">
        <v>17</v>
      </c>
      <c r="M19" s="7">
        <f t="shared" si="1"/>
        <v>0.0030416666666666665</v>
      </c>
      <c r="N19" s="7">
        <f t="shared" si="2"/>
        <v>0.06141666666666667</v>
      </c>
      <c r="O19" s="7">
        <f t="shared" si="3"/>
        <v>0</v>
      </c>
      <c r="P19" s="7">
        <f t="shared" si="4"/>
        <v>0.00323</v>
      </c>
    </row>
    <row r="20" spans="1:16" ht="12.75">
      <c r="A20" s="22" t="s">
        <v>106</v>
      </c>
      <c r="B20" s="22">
        <v>693</v>
      </c>
      <c r="C20" s="22">
        <v>230</v>
      </c>
      <c r="D20" s="22"/>
      <c r="E20" s="22"/>
      <c r="F20" s="22"/>
      <c r="G20" s="22"/>
      <c r="H20" s="22"/>
      <c r="I20" s="22"/>
      <c r="J20" s="45">
        <f t="shared" si="0"/>
        <v>0</v>
      </c>
      <c r="K20" s="54">
        <v>0</v>
      </c>
      <c r="L20" s="54">
        <v>4</v>
      </c>
      <c r="M20" s="7">
        <f t="shared" si="1"/>
        <v>0.002625</v>
      </c>
      <c r="N20" s="7">
        <f t="shared" si="2"/>
        <v>0</v>
      </c>
      <c r="O20" s="7">
        <f t="shared" si="3"/>
        <v>0</v>
      </c>
      <c r="P20" s="7">
        <f t="shared" si="4"/>
        <v>0.00076</v>
      </c>
    </row>
    <row r="21" spans="1:16" ht="12.75">
      <c r="A21" s="22" t="s">
        <v>107</v>
      </c>
      <c r="B21" s="22">
        <v>338</v>
      </c>
      <c r="C21" s="22">
        <v>230</v>
      </c>
      <c r="D21" s="22"/>
      <c r="E21" s="22">
        <v>2</v>
      </c>
      <c r="F21" s="22"/>
      <c r="G21" s="22"/>
      <c r="H21" s="22"/>
      <c r="I21" s="22"/>
      <c r="J21" s="45">
        <f t="shared" si="0"/>
        <v>2</v>
      </c>
      <c r="K21" s="54">
        <v>5</v>
      </c>
      <c r="L21" s="54">
        <v>24</v>
      </c>
      <c r="M21" s="7">
        <f t="shared" si="1"/>
        <v>0.0030416666666666665</v>
      </c>
      <c r="N21" s="7">
        <f t="shared" si="2"/>
        <v>0.06141666666666667</v>
      </c>
      <c r="O21" s="7">
        <f t="shared" si="3"/>
        <v>0.0007</v>
      </c>
      <c r="P21" s="7">
        <f t="shared" si="4"/>
        <v>0.00456</v>
      </c>
    </row>
    <row r="22" spans="1:16" ht="12.75">
      <c r="A22" s="22" t="s">
        <v>108</v>
      </c>
      <c r="B22" s="22">
        <v>424</v>
      </c>
      <c r="C22" s="22">
        <v>138</v>
      </c>
      <c r="D22" s="22"/>
      <c r="E22" s="22"/>
      <c r="F22" s="22"/>
      <c r="G22" s="22"/>
      <c r="H22" s="22"/>
      <c r="I22" s="22"/>
      <c r="J22" s="45">
        <f t="shared" si="0"/>
        <v>0</v>
      </c>
      <c r="K22" s="54">
        <v>3</v>
      </c>
      <c r="L22" s="54">
        <v>4</v>
      </c>
      <c r="M22" s="7">
        <f t="shared" si="1"/>
        <v>0.002625</v>
      </c>
      <c r="N22" s="7">
        <f t="shared" si="2"/>
        <v>0</v>
      </c>
      <c r="O22" s="7">
        <f t="shared" si="3"/>
        <v>0.00042</v>
      </c>
      <c r="P22" s="7">
        <f t="shared" si="4"/>
        <v>0.00076</v>
      </c>
    </row>
    <row r="23" spans="1:16" ht="12.75">
      <c r="A23" s="22" t="s">
        <v>109</v>
      </c>
      <c r="B23" s="22">
        <v>121</v>
      </c>
      <c r="C23" s="22">
        <v>230</v>
      </c>
      <c r="D23" s="22"/>
      <c r="E23" s="22"/>
      <c r="F23" s="22">
        <v>1</v>
      </c>
      <c r="G23" s="22"/>
      <c r="H23" s="22"/>
      <c r="I23" s="22"/>
      <c r="J23" s="45">
        <f t="shared" si="0"/>
        <v>1</v>
      </c>
      <c r="K23" s="54">
        <v>0</v>
      </c>
      <c r="L23" s="54">
        <v>7</v>
      </c>
      <c r="M23" s="7">
        <f t="shared" si="1"/>
        <v>0.0030416666666666665</v>
      </c>
      <c r="N23" s="7">
        <f t="shared" si="2"/>
        <v>0.030708333333333334</v>
      </c>
      <c r="O23" s="7">
        <f t="shared" si="3"/>
        <v>0</v>
      </c>
      <c r="P23" s="7">
        <f t="shared" si="4"/>
        <v>0.00133</v>
      </c>
    </row>
    <row r="24" spans="1:16" ht="12.75">
      <c r="A24" s="22" t="s">
        <v>110</v>
      </c>
      <c r="B24" s="22">
        <v>224</v>
      </c>
      <c r="C24" s="22">
        <v>115</v>
      </c>
      <c r="D24" s="22"/>
      <c r="E24" s="22"/>
      <c r="F24" s="22"/>
      <c r="G24" s="22"/>
      <c r="H24" s="22"/>
      <c r="I24" s="22"/>
      <c r="J24" s="45">
        <f t="shared" si="0"/>
        <v>0</v>
      </c>
      <c r="K24" s="54">
        <v>1</v>
      </c>
      <c r="L24" s="54">
        <v>2</v>
      </c>
      <c r="M24" s="7">
        <f t="shared" si="1"/>
        <v>0.002625</v>
      </c>
      <c r="N24" s="7">
        <f t="shared" si="2"/>
        <v>0</v>
      </c>
      <c r="O24" s="7">
        <f t="shared" si="3"/>
        <v>0.00014</v>
      </c>
      <c r="P24" s="7">
        <f t="shared" si="4"/>
        <v>0.00038</v>
      </c>
    </row>
    <row r="25" spans="1:16" ht="12.75">
      <c r="A25" s="22" t="s">
        <v>111</v>
      </c>
      <c r="B25" s="22">
        <v>497</v>
      </c>
      <c r="C25" s="22">
        <v>230</v>
      </c>
      <c r="D25" s="22"/>
      <c r="E25" s="22"/>
      <c r="F25" s="22"/>
      <c r="G25" s="22"/>
      <c r="H25" s="22"/>
      <c r="I25" s="22"/>
      <c r="J25" s="45">
        <f t="shared" si="0"/>
        <v>0</v>
      </c>
      <c r="K25" s="54">
        <v>3</v>
      </c>
      <c r="L25" s="54">
        <v>4</v>
      </c>
      <c r="M25" s="7">
        <f t="shared" si="1"/>
        <v>0.002625</v>
      </c>
      <c r="N25" s="7">
        <f t="shared" si="2"/>
        <v>0</v>
      </c>
      <c r="O25" s="7">
        <f t="shared" si="3"/>
        <v>0.00042</v>
      </c>
      <c r="P25" s="7">
        <f t="shared" si="4"/>
        <v>0.00076</v>
      </c>
    </row>
    <row r="26" spans="1:16" ht="12.75">
      <c r="A26" s="22" t="s">
        <v>112</v>
      </c>
      <c r="B26" s="22">
        <v>216</v>
      </c>
      <c r="C26" s="22">
        <v>230</v>
      </c>
      <c r="D26" s="22"/>
      <c r="E26" s="22"/>
      <c r="F26" s="22">
        <v>2</v>
      </c>
      <c r="G26" s="22"/>
      <c r="H26" s="22"/>
      <c r="I26" s="22"/>
      <c r="J26" s="45">
        <f t="shared" si="0"/>
        <v>2</v>
      </c>
      <c r="K26" s="54">
        <v>1</v>
      </c>
      <c r="L26" s="54">
        <v>23</v>
      </c>
      <c r="M26" s="7">
        <f t="shared" si="1"/>
        <v>0.0030416666666666665</v>
      </c>
      <c r="N26" s="7">
        <f t="shared" si="2"/>
        <v>0.06141666666666667</v>
      </c>
      <c r="O26" s="7">
        <f t="shared" si="3"/>
        <v>0.00014</v>
      </c>
      <c r="P26" s="7">
        <f t="shared" si="4"/>
        <v>0.00437</v>
      </c>
    </row>
    <row r="27" spans="1:16" ht="12.75">
      <c r="A27" s="22" t="s">
        <v>113</v>
      </c>
      <c r="B27" s="22">
        <v>537</v>
      </c>
      <c r="C27" s="22">
        <v>230</v>
      </c>
      <c r="D27" s="22"/>
      <c r="E27" s="22">
        <v>2</v>
      </c>
      <c r="F27" s="22"/>
      <c r="G27" s="22"/>
      <c r="H27" s="22"/>
      <c r="I27" s="22"/>
      <c r="J27" s="45">
        <f t="shared" si="0"/>
        <v>2</v>
      </c>
      <c r="K27" s="54">
        <v>9</v>
      </c>
      <c r="L27" s="54">
        <v>14</v>
      </c>
      <c r="M27" s="7">
        <f t="shared" si="1"/>
        <v>0.0030416666666666665</v>
      </c>
      <c r="N27" s="7">
        <f t="shared" si="2"/>
        <v>0.06141666666666667</v>
      </c>
      <c r="O27" s="7">
        <f t="shared" si="3"/>
        <v>0.00126</v>
      </c>
      <c r="P27" s="7">
        <f t="shared" si="4"/>
        <v>0.00266</v>
      </c>
    </row>
    <row r="28" spans="1:16" ht="12.75">
      <c r="A28" s="22" t="s">
        <v>114</v>
      </c>
      <c r="B28" s="22">
        <v>254</v>
      </c>
      <c r="C28" s="22">
        <v>230</v>
      </c>
      <c r="D28" s="22"/>
      <c r="E28" s="22">
        <v>2</v>
      </c>
      <c r="F28" s="22"/>
      <c r="G28" s="22"/>
      <c r="H28" s="22">
        <v>1</v>
      </c>
      <c r="I28" s="22"/>
      <c r="J28" s="45">
        <f t="shared" si="0"/>
        <v>3</v>
      </c>
      <c r="K28" s="54">
        <v>3</v>
      </c>
      <c r="L28" s="54">
        <v>18</v>
      </c>
      <c r="M28" s="7">
        <f t="shared" si="1"/>
        <v>0.0030416666666666665</v>
      </c>
      <c r="N28" s="7">
        <f t="shared" si="2"/>
        <v>0.092125</v>
      </c>
      <c r="O28" s="7">
        <f t="shared" si="3"/>
        <v>0.00042</v>
      </c>
      <c r="P28" s="7">
        <f t="shared" si="4"/>
        <v>0.00342</v>
      </c>
    </row>
    <row r="29" spans="1:16" ht="12.75">
      <c r="A29" s="22" t="s">
        <v>115</v>
      </c>
      <c r="B29" s="22">
        <v>113</v>
      </c>
      <c r="C29" s="22">
        <v>138</v>
      </c>
      <c r="D29" s="22"/>
      <c r="E29" s="22"/>
      <c r="F29" s="22"/>
      <c r="G29" s="22"/>
      <c r="H29" s="22"/>
      <c r="I29" s="22"/>
      <c r="J29" s="45">
        <f t="shared" si="0"/>
        <v>0</v>
      </c>
      <c r="K29" s="54">
        <v>3</v>
      </c>
      <c r="L29" s="54">
        <v>4</v>
      </c>
      <c r="M29" s="7">
        <f t="shared" si="1"/>
        <v>0.002625</v>
      </c>
      <c r="N29" s="7">
        <f t="shared" si="2"/>
        <v>0</v>
      </c>
      <c r="O29" s="7">
        <f t="shared" si="3"/>
        <v>0.00042</v>
      </c>
      <c r="P29" s="7">
        <f t="shared" si="4"/>
        <v>0.00076</v>
      </c>
    </row>
    <row r="30" spans="1:16" ht="12.75">
      <c r="A30" s="22" t="s">
        <v>116</v>
      </c>
      <c r="B30" s="22">
        <v>56</v>
      </c>
      <c r="C30" s="22">
        <v>138</v>
      </c>
      <c r="D30" s="22"/>
      <c r="E30" s="22"/>
      <c r="F30" s="22"/>
      <c r="G30" s="22"/>
      <c r="H30" s="22"/>
      <c r="I30" s="22"/>
      <c r="J30" s="45">
        <f t="shared" si="0"/>
        <v>0</v>
      </c>
      <c r="K30" s="54">
        <v>0</v>
      </c>
      <c r="L30" s="54">
        <v>3</v>
      </c>
      <c r="M30" s="7">
        <f t="shared" si="1"/>
        <v>0.002625</v>
      </c>
      <c r="N30" s="7">
        <f t="shared" si="2"/>
        <v>0</v>
      </c>
      <c r="O30" s="7">
        <f t="shared" si="3"/>
        <v>0</v>
      </c>
      <c r="P30" s="7">
        <f t="shared" si="4"/>
        <v>0.00057</v>
      </c>
    </row>
    <row r="31" spans="1:16" ht="12.75">
      <c r="A31" s="22" t="s">
        <v>117</v>
      </c>
      <c r="B31" s="22">
        <v>292</v>
      </c>
      <c r="C31" s="22">
        <v>230</v>
      </c>
      <c r="D31" s="22"/>
      <c r="E31" s="22">
        <v>2</v>
      </c>
      <c r="F31" s="22"/>
      <c r="G31" s="22"/>
      <c r="H31" s="22"/>
      <c r="I31" s="22"/>
      <c r="J31" s="45">
        <f t="shared" si="0"/>
        <v>2</v>
      </c>
      <c r="K31" s="54">
        <v>8</v>
      </c>
      <c r="L31" s="54">
        <v>15</v>
      </c>
      <c r="M31" s="7">
        <f t="shared" si="1"/>
        <v>0.0030416666666666665</v>
      </c>
      <c r="N31" s="7">
        <f t="shared" si="2"/>
        <v>0.06141666666666667</v>
      </c>
      <c r="O31" s="7">
        <f t="shared" si="3"/>
        <v>0.00112</v>
      </c>
      <c r="P31" s="7">
        <f t="shared" si="4"/>
        <v>0.00285</v>
      </c>
    </row>
    <row r="32" spans="1:16" ht="12.75">
      <c r="A32" s="22" t="s">
        <v>118</v>
      </c>
      <c r="B32" s="22">
        <v>232</v>
      </c>
      <c r="C32" s="22">
        <v>115</v>
      </c>
      <c r="D32" s="22"/>
      <c r="E32" s="22"/>
      <c r="F32" s="22"/>
      <c r="G32" s="22"/>
      <c r="H32" s="22"/>
      <c r="I32" s="22"/>
      <c r="J32" s="45">
        <f t="shared" si="0"/>
        <v>0</v>
      </c>
      <c r="K32" s="54">
        <v>6</v>
      </c>
      <c r="L32" s="54">
        <v>5</v>
      </c>
      <c r="M32" s="7">
        <f t="shared" si="1"/>
        <v>0.002625</v>
      </c>
      <c r="N32" s="7">
        <f t="shared" si="2"/>
        <v>0</v>
      </c>
      <c r="O32" s="7">
        <f t="shared" si="3"/>
        <v>0.00084</v>
      </c>
      <c r="P32" s="7">
        <f t="shared" si="4"/>
        <v>0.00095</v>
      </c>
    </row>
    <row r="33" spans="1:16" ht="12.75">
      <c r="A33" s="22" t="s">
        <v>119</v>
      </c>
      <c r="B33" s="22">
        <v>806</v>
      </c>
      <c r="C33" s="22">
        <v>500</v>
      </c>
      <c r="D33" s="22">
        <v>6</v>
      </c>
      <c r="E33" s="22"/>
      <c r="F33" s="22"/>
      <c r="G33" s="22"/>
      <c r="H33" s="22"/>
      <c r="I33" s="22"/>
      <c r="J33" s="45">
        <f t="shared" si="0"/>
        <v>6</v>
      </c>
      <c r="K33" s="54">
        <v>4</v>
      </c>
      <c r="L33" s="54">
        <v>13</v>
      </c>
      <c r="M33" s="7">
        <f t="shared" si="1"/>
        <v>0.0030416666666666665</v>
      </c>
      <c r="N33" s="7">
        <f t="shared" si="2"/>
        <v>0.18425</v>
      </c>
      <c r="O33" s="7">
        <f t="shared" si="3"/>
        <v>0.00056</v>
      </c>
      <c r="P33" s="7">
        <f t="shared" si="4"/>
        <v>0.00247</v>
      </c>
    </row>
    <row r="34" spans="1:16" ht="12.75">
      <c r="A34" s="22" t="s">
        <v>120</v>
      </c>
      <c r="B34" s="22">
        <v>613</v>
      </c>
      <c r="C34" s="22">
        <v>500</v>
      </c>
      <c r="D34" s="22">
        <v>3</v>
      </c>
      <c r="E34" s="22"/>
      <c r="F34" s="22"/>
      <c r="G34" s="22"/>
      <c r="H34" s="22"/>
      <c r="I34" s="22"/>
      <c r="J34" s="45">
        <f t="shared" si="0"/>
        <v>3</v>
      </c>
      <c r="K34" s="54">
        <v>3</v>
      </c>
      <c r="L34" s="54">
        <v>22</v>
      </c>
      <c r="M34" s="7">
        <f t="shared" si="1"/>
        <v>0.0030416666666666665</v>
      </c>
      <c r="N34" s="7">
        <f t="shared" si="2"/>
        <v>0.092125</v>
      </c>
      <c r="O34" s="7">
        <f t="shared" si="3"/>
        <v>0.00042</v>
      </c>
      <c r="P34" s="7">
        <f t="shared" si="4"/>
        <v>0.00418</v>
      </c>
    </row>
    <row r="35" spans="1:16" ht="12.75">
      <c r="A35" s="22" t="s">
        <v>121</v>
      </c>
      <c r="B35" s="22">
        <v>118</v>
      </c>
      <c r="C35" s="22">
        <v>138</v>
      </c>
      <c r="D35" s="22"/>
      <c r="E35" s="22">
        <v>1</v>
      </c>
      <c r="F35" s="22"/>
      <c r="G35" s="22"/>
      <c r="H35" s="22"/>
      <c r="I35" s="22"/>
      <c r="J35" s="45">
        <f t="shared" si="0"/>
        <v>1</v>
      </c>
      <c r="K35" s="54">
        <v>2</v>
      </c>
      <c r="L35" s="54">
        <v>5</v>
      </c>
      <c r="M35" s="7">
        <f t="shared" si="1"/>
        <v>0.0030416666666666665</v>
      </c>
      <c r="N35" s="7">
        <f t="shared" si="2"/>
        <v>0.030708333333333334</v>
      </c>
      <c r="O35" s="7">
        <f t="shared" si="3"/>
        <v>0.00028</v>
      </c>
      <c r="P35" s="7">
        <f t="shared" si="4"/>
        <v>0.00095</v>
      </c>
    </row>
    <row r="36" spans="1:16" ht="12.75">
      <c r="A36" s="22" t="s">
        <v>299</v>
      </c>
      <c r="B36" s="22">
        <v>885</v>
      </c>
      <c r="C36" s="22">
        <v>138</v>
      </c>
      <c r="D36" s="22"/>
      <c r="E36" s="22">
        <v>1</v>
      </c>
      <c r="F36" s="22"/>
      <c r="G36" s="22"/>
      <c r="H36" s="22"/>
      <c r="I36" s="22"/>
      <c r="J36" s="45">
        <f>IF(SUM(D36:I36)&gt;0,SUM(D36:I36),0)</f>
        <v>1</v>
      </c>
      <c r="K36" s="54">
        <v>2</v>
      </c>
      <c r="L36" s="54">
        <v>4</v>
      </c>
      <c r="M36" s="7">
        <f t="shared" si="1"/>
        <v>0.0030416666666666665</v>
      </c>
      <c r="N36" s="7">
        <f t="shared" si="2"/>
        <v>0.030708333333333334</v>
      </c>
      <c r="O36" s="7">
        <f t="shared" si="3"/>
        <v>0.00028</v>
      </c>
      <c r="P36" s="7">
        <f t="shared" si="4"/>
        <v>0.00076</v>
      </c>
    </row>
    <row r="37" spans="1:16" ht="12.75">
      <c r="A37" s="22" t="s">
        <v>122</v>
      </c>
      <c r="B37" s="22">
        <v>93</v>
      </c>
      <c r="C37" s="22">
        <v>138</v>
      </c>
      <c r="D37" s="22"/>
      <c r="E37" s="22"/>
      <c r="F37" s="22"/>
      <c r="G37" s="22"/>
      <c r="H37" s="22"/>
      <c r="I37" s="22"/>
      <c r="J37" s="45">
        <f t="shared" si="0"/>
        <v>0</v>
      </c>
      <c r="K37" s="54">
        <v>2</v>
      </c>
      <c r="L37" s="54">
        <v>15</v>
      </c>
      <c r="M37" s="7">
        <f t="shared" si="1"/>
        <v>0.002625</v>
      </c>
      <c r="N37" s="7">
        <f t="shared" si="2"/>
        <v>0</v>
      </c>
      <c r="O37" s="7">
        <f t="shared" si="3"/>
        <v>0.00028</v>
      </c>
      <c r="P37" s="7">
        <f t="shared" si="4"/>
        <v>0.00285</v>
      </c>
    </row>
    <row r="38" spans="1:16" ht="12.75">
      <c r="A38" s="22" t="s">
        <v>123</v>
      </c>
      <c r="B38" s="22">
        <v>81</v>
      </c>
      <c r="C38" s="22">
        <v>230</v>
      </c>
      <c r="D38" s="22"/>
      <c r="E38" s="22">
        <v>2</v>
      </c>
      <c r="F38" s="22"/>
      <c r="G38" s="22"/>
      <c r="H38" s="22"/>
      <c r="I38" s="22"/>
      <c r="J38" s="45">
        <f t="shared" si="0"/>
        <v>2</v>
      </c>
      <c r="K38" s="54">
        <v>2</v>
      </c>
      <c r="L38" s="54">
        <v>19</v>
      </c>
      <c r="M38" s="7">
        <f t="shared" si="1"/>
        <v>0.0030416666666666665</v>
      </c>
      <c r="N38" s="7">
        <f t="shared" si="2"/>
        <v>0.06141666666666667</v>
      </c>
      <c r="O38" s="7">
        <f t="shared" si="3"/>
        <v>0.00028</v>
      </c>
      <c r="P38" s="7">
        <f t="shared" si="4"/>
        <v>0.00361</v>
      </c>
    </row>
    <row r="39" spans="1:16" ht="12.75">
      <c r="A39" s="22" t="s">
        <v>124</v>
      </c>
      <c r="B39" s="22">
        <v>262</v>
      </c>
      <c r="C39" s="22">
        <v>230</v>
      </c>
      <c r="D39" s="22"/>
      <c r="E39" s="22">
        <v>2</v>
      </c>
      <c r="F39" s="22"/>
      <c r="G39" s="22"/>
      <c r="H39" s="22"/>
      <c r="I39" s="22"/>
      <c r="J39" s="45">
        <f t="shared" si="0"/>
        <v>2</v>
      </c>
      <c r="K39" s="54">
        <v>0</v>
      </c>
      <c r="L39" s="54">
        <v>22</v>
      </c>
      <c r="M39" s="7">
        <f t="shared" si="1"/>
        <v>0.0030416666666666665</v>
      </c>
      <c r="N39" s="7">
        <f t="shared" si="2"/>
        <v>0.06141666666666667</v>
      </c>
      <c r="O39" s="7">
        <f t="shared" si="3"/>
        <v>0</v>
      </c>
      <c r="P39" s="7">
        <f t="shared" si="4"/>
        <v>0.00418</v>
      </c>
    </row>
    <row r="40" spans="1:16" ht="12.75">
      <c r="A40" s="22" t="s">
        <v>125</v>
      </c>
      <c r="B40" s="22">
        <v>35</v>
      </c>
      <c r="C40" s="22">
        <v>115</v>
      </c>
      <c r="D40" s="22"/>
      <c r="E40" s="22"/>
      <c r="F40" s="22"/>
      <c r="G40" s="22"/>
      <c r="H40" s="22"/>
      <c r="I40" s="22"/>
      <c r="J40" s="45">
        <f t="shared" si="0"/>
        <v>0</v>
      </c>
      <c r="K40" s="54">
        <v>0</v>
      </c>
      <c r="L40" s="54">
        <v>3</v>
      </c>
      <c r="M40" s="7">
        <f aca="true" t="shared" si="5" ref="M40:M77">IF(J40&gt;0,($L$142+$L$143)/10^3/24,($L$142+$L$144)/10^3/24)</f>
        <v>0.002625</v>
      </c>
      <c r="N40" s="7">
        <f aca="true" t="shared" si="6" ref="N40:N75">J40*$L$147/10^3/24</f>
        <v>0</v>
      </c>
      <c r="O40" s="7">
        <f aca="true" t="shared" si="7" ref="O40:O75">K40*$L$146/10^6</f>
        <v>0</v>
      </c>
      <c r="P40" s="7">
        <f aca="true" t="shared" si="8" ref="P40:P75">L40*$L$145/10^6</f>
        <v>0.00057</v>
      </c>
    </row>
    <row r="41" spans="1:16" ht="12.75">
      <c r="A41" s="22" t="s">
        <v>126</v>
      </c>
      <c r="B41" s="22">
        <v>94</v>
      </c>
      <c r="C41" s="22">
        <v>69</v>
      </c>
      <c r="D41" s="22"/>
      <c r="E41" s="22"/>
      <c r="F41" s="22"/>
      <c r="G41" s="22"/>
      <c r="H41" s="22"/>
      <c r="I41" s="22"/>
      <c r="J41" s="45">
        <f t="shared" si="0"/>
        <v>0</v>
      </c>
      <c r="K41" s="54">
        <v>1</v>
      </c>
      <c r="L41" s="54">
        <v>0</v>
      </c>
      <c r="M41" s="7">
        <f t="shared" si="5"/>
        <v>0.002625</v>
      </c>
      <c r="N41" s="7">
        <f t="shared" si="6"/>
        <v>0</v>
      </c>
      <c r="O41" s="7">
        <f t="shared" si="7"/>
        <v>0.00014</v>
      </c>
      <c r="P41" s="7">
        <f t="shared" si="8"/>
        <v>0</v>
      </c>
    </row>
    <row r="42" spans="1:16" ht="12.75">
      <c r="A42" s="22" t="s">
        <v>127</v>
      </c>
      <c r="B42" s="22">
        <v>242</v>
      </c>
      <c r="C42" s="22">
        <v>138</v>
      </c>
      <c r="D42" s="22"/>
      <c r="E42" s="22"/>
      <c r="F42" s="22"/>
      <c r="G42" s="22"/>
      <c r="H42" s="22"/>
      <c r="I42" s="22"/>
      <c r="J42" s="45">
        <f t="shared" si="0"/>
        <v>0</v>
      </c>
      <c r="K42" s="54">
        <v>3</v>
      </c>
      <c r="L42" s="54">
        <v>3</v>
      </c>
      <c r="M42" s="7">
        <f t="shared" si="5"/>
        <v>0.002625</v>
      </c>
      <c r="N42" s="7">
        <f t="shared" si="6"/>
        <v>0</v>
      </c>
      <c r="O42" s="7">
        <f t="shared" si="7"/>
        <v>0.00042</v>
      </c>
      <c r="P42" s="7">
        <f t="shared" si="8"/>
        <v>0.00057</v>
      </c>
    </row>
    <row r="43" spans="1:16" ht="12.75">
      <c r="A43" s="22" t="s">
        <v>128</v>
      </c>
      <c r="B43" s="22">
        <v>36</v>
      </c>
      <c r="C43" s="22">
        <v>115</v>
      </c>
      <c r="D43" s="22"/>
      <c r="E43" s="22"/>
      <c r="F43" s="22"/>
      <c r="G43" s="22"/>
      <c r="H43" s="22"/>
      <c r="I43" s="22"/>
      <c r="J43" s="45">
        <f t="shared" si="0"/>
        <v>0</v>
      </c>
      <c r="K43" s="54">
        <v>2</v>
      </c>
      <c r="L43" s="54">
        <v>3</v>
      </c>
      <c r="M43" s="7">
        <f t="shared" si="5"/>
        <v>0.002625</v>
      </c>
      <c r="N43" s="7">
        <f t="shared" si="6"/>
        <v>0</v>
      </c>
      <c r="O43" s="7">
        <f t="shared" si="7"/>
        <v>0.00028</v>
      </c>
      <c r="P43" s="7">
        <f t="shared" si="8"/>
        <v>0.00057</v>
      </c>
    </row>
    <row r="44" spans="1:16" ht="12.75">
      <c r="A44" s="22" t="s">
        <v>218</v>
      </c>
      <c r="B44" s="22">
        <v>530</v>
      </c>
      <c r="C44" s="22">
        <v>230</v>
      </c>
      <c r="D44" s="22"/>
      <c r="E44" s="22"/>
      <c r="F44" s="22"/>
      <c r="G44" s="22"/>
      <c r="H44" s="22"/>
      <c r="I44" s="22"/>
      <c r="J44" s="45">
        <f t="shared" si="0"/>
        <v>0</v>
      </c>
      <c r="K44" s="54">
        <v>0</v>
      </c>
      <c r="L44" s="54">
        <v>3</v>
      </c>
      <c r="M44" s="7">
        <f t="shared" si="5"/>
        <v>0.002625</v>
      </c>
      <c r="N44" s="7">
        <f t="shared" si="6"/>
        <v>0</v>
      </c>
      <c r="O44" s="7">
        <f t="shared" si="7"/>
        <v>0</v>
      </c>
      <c r="P44" s="7">
        <f t="shared" si="8"/>
        <v>0.00057</v>
      </c>
    </row>
    <row r="45" spans="1:16" ht="12.75">
      <c r="A45" s="22" t="s">
        <v>129</v>
      </c>
      <c r="B45" s="22">
        <v>155</v>
      </c>
      <c r="C45" s="22">
        <v>500</v>
      </c>
      <c r="D45" s="22">
        <v>6</v>
      </c>
      <c r="E45" s="22"/>
      <c r="F45" s="22"/>
      <c r="G45" s="22"/>
      <c r="H45" s="22"/>
      <c r="I45" s="22"/>
      <c r="J45" s="45">
        <f t="shared" si="0"/>
        <v>6</v>
      </c>
      <c r="K45" s="54">
        <v>7</v>
      </c>
      <c r="L45" s="54">
        <v>25</v>
      </c>
      <c r="M45" s="7">
        <f t="shared" si="5"/>
        <v>0.0030416666666666665</v>
      </c>
      <c r="N45" s="7">
        <f t="shared" si="6"/>
        <v>0.18425</v>
      </c>
      <c r="O45" s="7">
        <f t="shared" si="7"/>
        <v>0.00098</v>
      </c>
      <c r="P45" s="7">
        <f t="shared" si="8"/>
        <v>0.00475</v>
      </c>
    </row>
    <row r="46" spans="1:16" ht="12.75">
      <c r="A46" s="22" t="s">
        <v>130</v>
      </c>
      <c r="B46" s="22">
        <v>136</v>
      </c>
      <c r="C46" s="22">
        <v>138</v>
      </c>
      <c r="D46" s="22"/>
      <c r="E46" s="22"/>
      <c r="F46" s="22"/>
      <c r="G46" s="22"/>
      <c r="H46" s="22"/>
      <c r="I46" s="22"/>
      <c r="J46" s="45">
        <f t="shared" si="0"/>
        <v>0</v>
      </c>
      <c r="K46" s="54">
        <v>3</v>
      </c>
      <c r="L46" s="54">
        <v>4</v>
      </c>
      <c r="M46" s="7">
        <f t="shared" si="5"/>
        <v>0.002625</v>
      </c>
      <c r="N46" s="7">
        <f t="shared" si="6"/>
        <v>0</v>
      </c>
      <c r="O46" s="7">
        <f t="shared" si="7"/>
        <v>0.00042</v>
      </c>
      <c r="P46" s="7">
        <f t="shared" si="8"/>
        <v>0.00076</v>
      </c>
    </row>
    <row r="47" spans="1:16" ht="12.75">
      <c r="A47" s="22" t="s">
        <v>131</v>
      </c>
      <c r="B47" s="22">
        <v>580</v>
      </c>
      <c r="C47" s="22">
        <v>230</v>
      </c>
      <c r="D47" s="22"/>
      <c r="E47" s="22">
        <v>1</v>
      </c>
      <c r="F47" s="22"/>
      <c r="G47" s="22"/>
      <c r="H47" s="22"/>
      <c r="I47" s="22"/>
      <c r="J47" s="45">
        <f t="shared" si="0"/>
        <v>1</v>
      </c>
      <c r="K47" s="54">
        <v>0</v>
      </c>
      <c r="L47" s="54">
        <v>8</v>
      </c>
      <c r="M47" s="7">
        <f t="shared" si="5"/>
        <v>0.0030416666666666665</v>
      </c>
      <c r="N47" s="7">
        <f t="shared" si="6"/>
        <v>0.030708333333333334</v>
      </c>
      <c r="O47" s="7">
        <f t="shared" si="7"/>
        <v>0</v>
      </c>
      <c r="P47" s="7">
        <f t="shared" si="8"/>
        <v>0.00152</v>
      </c>
    </row>
    <row r="48" spans="1:16" ht="12.75">
      <c r="A48" s="22" t="s">
        <v>132</v>
      </c>
      <c r="B48" s="22">
        <v>141</v>
      </c>
      <c r="C48" s="22">
        <v>230</v>
      </c>
      <c r="D48" s="22"/>
      <c r="E48" s="22">
        <v>2</v>
      </c>
      <c r="F48" s="22"/>
      <c r="G48" s="22"/>
      <c r="H48" s="22"/>
      <c r="I48" s="22"/>
      <c r="J48" s="45">
        <f t="shared" si="0"/>
        <v>2</v>
      </c>
      <c r="K48" s="54">
        <v>3</v>
      </c>
      <c r="L48" s="54">
        <v>21</v>
      </c>
      <c r="M48" s="7">
        <f t="shared" si="5"/>
        <v>0.0030416666666666665</v>
      </c>
      <c r="N48" s="7">
        <f t="shared" si="6"/>
        <v>0.06141666666666667</v>
      </c>
      <c r="O48" s="7">
        <f t="shared" si="7"/>
        <v>0.00042</v>
      </c>
      <c r="P48" s="7">
        <f t="shared" si="8"/>
        <v>0.00399</v>
      </c>
    </row>
    <row r="49" spans="1:16" ht="12.75">
      <c r="A49" s="22" t="s">
        <v>133</v>
      </c>
      <c r="B49" s="22">
        <v>143</v>
      </c>
      <c r="C49" s="22">
        <v>230</v>
      </c>
      <c r="D49" s="22"/>
      <c r="E49" s="22">
        <v>1</v>
      </c>
      <c r="F49" s="22"/>
      <c r="G49" s="22"/>
      <c r="H49" s="22"/>
      <c r="I49" s="22"/>
      <c r="J49" s="45">
        <f t="shared" si="0"/>
        <v>1</v>
      </c>
      <c r="K49" s="54">
        <v>5</v>
      </c>
      <c r="L49" s="54">
        <v>5</v>
      </c>
      <c r="M49" s="7">
        <f t="shared" si="5"/>
        <v>0.0030416666666666665</v>
      </c>
      <c r="N49" s="7">
        <f t="shared" si="6"/>
        <v>0.030708333333333334</v>
      </c>
      <c r="O49" s="7">
        <f t="shared" si="7"/>
        <v>0.0007</v>
      </c>
      <c r="P49" s="7">
        <f t="shared" si="8"/>
        <v>0.00095</v>
      </c>
    </row>
    <row r="50" spans="1:16" ht="12" customHeight="1">
      <c r="A50" s="22" t="s">
        <v>134</v>
      </c>
      <c r="B50" s="22">
        <v>34</v>
      </c>
      <c r="C50" s="22">
        <v>230</v>
      </c>
      <c r="D50" s="22"/>
      <c r="E50" s="22">
        <v>2</v>
      </c>
      <c r="F50" s="22"/>
      <c r="G50" s="22"/>
      <c r="H50" s="22"/>
      <c r="I50" s="22"/>
      <c r="J50" s="45">
        <f t="shared" si="0"/>
        <v>2</v>
      </c>
      <c r="K50" s="54">
        <v>6</v>
      </c>
      <c r="L50" s="54">
        <v>28</v>
      </c>
      <c r="M50" s="7">
        <f t="shared" si="5"/>
        <v>0.0030416666666666665</v>
      </c>
      <c r="N50" s="7">
        <f t="shared" si="6"/>
        <v>0.06141666666666667</v>
      </c>
      <c r="O50" s="7">
        <f t="shared" si="7"/>
        <v>0.00084</v>
      </c>
      <c r="P50" s="7">
        <f t="shared" si="8"/>
        <v>0.00532</v>
      </c>
    </row>
    <row r="51" spans="1:16" ht="12" customHeight="1">
      <c r="A51" s="22" t="s">
        <v>216</v>
      </c>
      <c r="B51" s="22">
        <v>294</v>
      </c>
      <c r="C51" s="22">
        <v>138</v>
      </c>
      <c r="D51" s="22"/>
      <c r="E51" s="22"/>
      <c r="F51" s="22"/>
      <c r="G51" s="22"/>
      <c r="H51" s="22"/>
      <c r="I51" s="22"/>
      <c r="J51" s="45">
        <f t="shared" si="0"/>
        <v>0</v>
      </c>
      <c r="K51" s="54">
        <v>2</v>
      </c>
      <c r="L51" s="54">
        <v>4</v>
      </c>
      <c r="M51" s="7">
        <f t="shared" si="5"/>
        <v>0.002625</v>
      </c>
      <c r="N51" s="7">
        <f t="shared" si="6"/>
        <v>0</v>
      </c>
      <c r="O51" s="7">
        <f t="shared" si="7"/>
        <v>0.00028</v>
      </c>
      <c r="P51" s="7">
        <f t="shared" si="8"/>
        <v>0.00076</v>
      </c>
    </row>
    <row r="52" spans="1:16" ht="12" customHeight="1">
      <c r="A52" s="22" t="s">
        <v>212</v>
      </c>
      <c r="B52" s="22">
        <v>303</v>
      </c>
      <c r="C52" s="22">
        <v>138</v>
      </c>
      <c r="D52" s="22"/>
      <c r="E52" s="22">
        <v>1</v>
      </c>
      <c r="F52" s="22"/>
      <c r="G52" s="22"/>
      <c r="H52" s="22"/>
      <c r="I52" s="22"/>
      <c r="J52" s="45">
        <f t="shared" si="0"/>
        <v>1</v>
      </c>
      <c r="K52" s="54">
        <v>2</v>
      </c>
      <c r="L52" s="54">
        <v>5</v>
      </c>
      <c r="M52" s="7">
        <f t="shared" si="5"/>
        <v>0.0030416666666666665</v>
      </c>
      <c r="N52" s="7">
        <f t="shared" si="6"/>
        <v>0.030708333333333334</v>
      </c>
      <c r="O52" s="7">
        <f t="shared" si="7"/>
        <v>0.00028</v>
      </c>
      <c r="P52" s="7">
        <f t="shared" si="8"/>
        <v>0.00095</v>
      </c>
    </row>
    <row r="53" spans="1:16" ht="12.75">
      <c r="A53" s="22" t="s">
        <v>135</v>
      </c>
      <c r="B53" s="22">
        <v>213</v>
      </c>
      <c r="C53" s="22">
        <v>115</v>
      </c>
      <c r="D53" s="22"/>
      <c r="E53" s="22"/>
      <c r="F53" s="22"/>
      <c r="G53" s="22"/>
      <c r="H53" s="22"/>
      <c r="I53" s="22"/>
      <c r="J53" s="45">
        <f t="shared" si="0"/>
        <v>0</v>
      </c>
      <c r="K53" s="54">
        <v>1</v>
      </c>
      <c r="L53" s="54">
        <v>2</v>
      </c>
      <c r="M53" s="7">
        <f t="shared" si="5"/>
        <v>0.002625</v>
      </c>
      <c r="N53" s="7">
        <f t="shared" si="6"/>
        <v>0</v>
      </c>
      <c r="O53" s="7">
        <f t="shared" si="7"/>
        <v>0.00014</v>
      </c>
      <c r="P53" s="7">
        <f t="shared" si="8"/>
        <v>0.00038</v>
      </c>
    </row>
    <row r="54" spans="1:16" ht="12.75">
      <c r="A54" s="22" t="s">
        <v>304</v>
      </c>
      <c r="B54" s="22">
        <v>454</v>
      </c>
      <c r="C54" s="22">
        <v>230</v>
      </c>
      <c r="D54" s="22"/>
      <c r="E54" s="22">
        <v>1</v>
      </c>
      <c r="F54" s="22"/>
      <c r="G54" s="22"/>
      <c r="H54" s="22"/>
      <c r="I54" s="22"/>
      <c r="J54" s="45">
        <f t="shared" si="0"/>
        <v>1</v>
      </c>
      <c r="K54" s="54">
        <v>0</v>
      </c>
      <c r="L54" s="54">
        <v>7</v>
      </c>
      <c r="M54" s="7">
        <f t="shared" si="5"/>
        <v>0.0030416666666666665</v>
      </c>
      <c r="N54" s="7">
        <f t="shared" si="6"/>
        <v>0.030708333333333334</v>
      </c>
      <c r="O54" s="7">
        <f t="shared" si="7"/>
        <v>0</v>
      </c>
      <c r="P54" s="7">
        <f t="shared" si="8"/>
        <v>0.00133</v>
      </c>
    </row>
    <row r="55" spans="1:16" ht="12.75">
      <c r="A55" s="22" t="s">
        <v>136</v>
      </c>
      <c r="B55" s="22">
        <v>183</v>
      </c>
      <c r="C55" s="22">
        <v>230</v>
      </c>
      <c r="D55" s="22"/>
      <c r="E55" s="22">
        <v>1</v>
      </c>
      <c r="F55" s="22"/>
      <c r="G55" s="22"/>
      <c r="H55" s="22"/>
      <c r="I55" s="22"/>
      <c r="J55" s="45">
        <f t="shared" si="0"/>
        <v>1</v>
      </c>
      <c r="K55" s="54">
        <v>4</v>
      </c>
      <c r="L55" s="54">
        <v>9</v>
      </c>
      <c r="M55" s="7">
        <f t="shared" si="5"/>
        <v>0.0030416666666666665</v>
      </c>
      <c r="N55" s="7">
        <f t="shared" si="6"/>
        <v>0.030708333333333334</v>
      </c>
      <c r="O55" s="7">
        <f t="shared" si="7"/>
        <v>0.00056</v>
      </c>
      <c r="P55" s="7">
        <f t="shared" si="8"/>
        <v>0.00171</v>
      </c>
    </row>
    <row r="56" spans="1:16" ht="12.75">
      <c r="A56" s="22" t="s">
        <v>137</v>
      </c>
      <c r="B56" s="22">
        <v>302</v>
      </c>
      <c r="C56" s="22">
        <v>230</v>
      </c>
      <c r="D56" s="22"/>
      <c r="E56" s="22">
        <v>1</v>
      </c>
      <c r="F56" s="22"/>
      <c r="G56" s="22"/>
      <c r="H56" s="22"/>
      <c r="I56" s="22"/>
      <c r="J56" s="45">
        <f t="shared" si="0"/>
        <v>1</v>
      </c>
      <c r="K56" s="54">
        <v>5</v>
      </c>
      <c r="L56" s="54">
        <v>8</v>
      </c>
      <c r="M56" s="7">
        <f t="shared" si="5"/>
        <v>0.0030416666666666665</v>
      </c>
      <c r="N56" s="7">
        <f t="shared" si="6"/>
        <v>0.030708333333333334</v>
      </c>
      <c r="O56" s="7">
        <f t="shared" si="7"/>
        <v>0.0007</v>
      </c>
      <c r="P56" s="7">
        <f t="shared" si="8"/>
        <v>0.00152</v>
      </c>
    </row>
    <row r="57" spans="1:16" ht="12.75">
      <c r="A57" s="22" t="s">
        <v>138</v>
      </c>
      <c r="B57" s="22">
        <v>268</v>
      </c>
      <c r="C57" s="22">
        <v>115</v>
      </c>
      <c r="D57" s="22"/>
      <c r="E57" s="22"/>
      <c r="F57" s="22"/>
      <c r="G57" s="22"/>
      <c r="H57" s="22"/>
      <c r="I57" s="22"/>
      <c r="J57" s="45">
        <f t="shared" si="0"/>
        <v>0</v>
      </c>
      <c r="K57" s="54">
        <v>1</v>
      </c>
      <c r="L57" s="54">
        <v>1</v>
      </c>
      <c r="M57" s="7">
        <f t="shared" si="5"/>
        <v>0.002625</v>
      </c>
      <c r="N57" s="7">
        <f t="shared" si="6"/>
        <v>0</v>
      </c>
      <c r="O57" s="7">
        <f t="shared" si="7"/>
        <v>0.00014</v>
      </c>
      <c r="P57" s="7">
        <f t="shared" si="8"/>
        <v>0.00019</v>
      </c>
    </row>
    <row r="58" spans="1:16" ht="12.75">
      <c r="A58" s="22" t="s">
        <v>139</v>
      </c>
      <c r="B58" s="22">
        <v>186</v>
      </c>
      <c r="C58" s="22">
        <v>138</v>
      </c>
      <c r="D58" s="22"/>
      <c r="E58" s="22"/>
      <c r="F58" s="22"/>
      <c r="G58" s="22"/>
      <c r="H58" s="22"/>
      <c r="I58" s="22"/>
      <c r="J58" s="45">
        <f t="shared" si="0"/>
        <v>0</v>
      </c>
      <c r="K58" s="54">
        <v>0</v>
      </c>
      <c r="L58" s="54">
        <v>2</v>
      </c>
      <c r="M58" s="7">
        <f t="shared" si="5"/>
        <v>0.002625</v>
      </c>
      <c r="N58" s="7">
        <f t="shared" si="6"/>
        <v>0</v>
      </c>
      <c r="O58" s="7">
        <f t="shared" si="7"/>
        <v>0</v>
      </c>
      <c r="P58" s="7">
        <f t="shared" si="8"/>
        <v>0.00038</v>
      </c>
    </row>
    <row r="59" spans="1:16" ht="12.75">
      <c r="A59" s="22" t="s">
        <v>140</v>
      </c>
      <c r="B59" s="22">
        <v>538</v>
      </c>
      <c r="C59" s="22">
        <v>230</v>
      </c>
      <c r="D59" s="22"/>
      <c r="E59" s="22">
        <v>2</v>
      </c>
      <c r="F59" s="22"/>
      <c r="G59" s="22"/>
      <c r="H59" s="22"/>
      <c r="I59" s="22"/>
      <c r="J59" s="45">
        <f t="shared" si="0"/>
        <v>2</v>
      </c>
      <c r="K59" s="54">
        <v>5</v>
      </c>
      <c r="L59" s="54">
        <v>8</v>
      </c>
      <c r="M59" s="7">
        <f t="shared" si="5"/>
        <v>0.0030416666666666665</v>
      </c>
      <c r="N59" s="7">
        <f t="shared" si="6"/>
        <v>0.06141666666666667</v>
      </c>
      <c r="O59" s="7">
        <f t="shared" si="7"/>
        <v>0.0007</v>
      </c>
      <c r="P59" s="7">
        <f t="shared" si="8"/>
        <v>0.00152</v>
      </c>
    </row>
    <row r="60" spans="1:16" ht="12.75">
      <c r="A60" s="22" t="s">
        <v>141</v>
      </c>
      <c r="B60" s="22">
        <v>373</v>
      </c>
      <c r="C60" s="22">
        <v>138</v>
      </c>
      <c r="D60" s="22"/>
      <c r="E60" s="22"/>
      <c r="F60" s="22"/>
      <c r="G60" s="22"/>
      <c r="H60" s="22"/>
      <c r="I60" s="22"/>
      <c r="J60" s="45">
        <f t="shared" si="0"/>
        <v>0</v>
      </c>
      <c r="K60" s="54">
        <v>3</v>
      </c>
      <c r="L60" s="54">
        <v>3</v>
      </c>
      <c r="M60" s="7">
        <f t="shared" si="5"/>
        <v>0.002625</v>
      </c>
      <c r="N60" s="7">
        <f t="shared" si="6"/>
        <v>0</v>
      </c>
      <c r="O60" s="7">
        <f t="shared" si="7"/>
        <v>0.00042</v>
      </c>
      <c r="P60" s="7">
        <f t="shared" si="8"/>
        <v>0.00057</v>
      </c>
    </row>
    <row r="61" spans="1:16" ht="12.75">
      <c r="A61" s="22" t="s">
        <v>142</v>
      </c>
      <c r="B61" s="22">
        <v>660</v>
      </c>
      <c r="C61" s="22">
        <v>230</v>
      </c>
      <c r="D61" s="22"/>
      <c r="E61" s="22">
        <v>2</v>
      </c>
      <c r="F61" s="22"/>
      <c r="G61" s="22"/>
      <c r="H61" s="22"/>
      <c r="I61" s="22"/>
      <c r="J61" s="45">
        <f t="shared" si="0"/>
        <v>2</v>
      </c>
      <c r="K61" s="54">
        <v>0</v>
      </c>
      <c r="L61" s="54">
        <v>6</v>
      </c>
      <c r="M61" s="7">
        <f t="shared" si="5"/>
        <v>0.0030416666666666665</v>
      </c>
      <c r="N61" s="7">
        <f t="shared" si="6"/>
        <v>0.06141666666666667</v>
      </c>
      <c r="O61" s="7">
        <f t="shared" si="7"/>
        <v>0</v>
      </c>
      <c r="P61" s="7">
        <f t="shared" si="8"/>
        <v>0.00114</v>
      </c>
    </row>
    <row r="62" spans="1:16" ht="12.75">
      <c r="A62" s="22" t="s">
        <v>143</v>
      </c>
      <c r="B62" s="22">
        <v>330</v>
      </c>
      <c r="C62" s="22">
        <v>138</v>
      </c>
      <c r="D62" s="22"/>
      <c r="E62" s="22"/>
      <c r="F62" s="22"/>
      <c r="G62" s="22"/>
      <c r="H62" s="22">
        <v>2</v>
      </c>
      <c r="I62" s="22"/>
      <c r="J62" s="45">
        <f t="shared" si="0"/>
        <v>2</v>
      </c>
      <c r="K62" s="54">
        <v>2</v>
      </c>
      <c r="L62" s="54">
        <v>8</v>
      </c>
      <c r="M62" s="7">
        <f t="shared" si="5"/>
        <v>0.0030416666666666665</v>
      </c>
      <c r="N62" s="7">
        <f t="shared" si="6"/>
        <v>0.06141666666666667</v>
      </c>
      <c r="O62" s="7">
        <f t="shared" si="7"/>
        <v>0.00028</v>
      </c>
      <c r="P62" s="7">
        <f t="shared" si="8"/>
        <v>0.00152</v>
      </c>
    </row>
    <row r="63" spans="1:16" ht="12.75">
      <c r="A63" s="22" t="s">
        <v>217</v>
      </c>
      <c r="B63" s="22">
        <v>339</v>
      </c>
      <c r="C63" s="22">
        <v>230</v>
      </c>
      <c r="D63" s="22"/>
      <c r="E63" s="22"/>
      <c r="F63" s="22"/>
      <c r="G63" s="22"/>
      <c r="H63" s="22"/>
      <c r="I63" s="22"/>
      <c r="J63" s="45">
        <f t="shared" si="0"/>
        <v>0</v>
      </c>
      <c r="K63" s="54">
        <v>2</v>
      </c>
      <c r="L63" s="54">
        <v>8</v>
      </c>
      <c r="M63" s="7">
        <f t="shared" si="5"/>
        <v>0.002625</v>
      </c>
      <c r="N63" s="7">
        <f t="shared" si="6"/>
        <v>0</v>
      </c>
      <c r="O63" s="7">
        <f t="shared" si="7"/>
        <v>0.00028</v>
      </c>
      <c r="P63" s="7">
        <f t="shared" si="8"/>
        <v>0.00152</v>
      </c>
    </row>
    <row r="64" spans="1:16" ht="12.75">
      <c r="A64" s="22" t="s">
        <v>144</v>
      </c>
      <c r="B64" s="22">
        <v>361</v>
      </c>
      <c r="C64" s="22">
        <v>230</v>
      </c>
      <c r="D64" s="22"/>
      <c r="E64" s="22">
        <v>2</v>
      </c>
      <c r="F64" s="22"/>
      <c r="G64" s="22"/>
      <c r="H64" s="22"/>
      <c r="I64" s="22"/>
      <c r="J64" s="45">
        <f t="shared" si="0"/>
        <v>2</v>
      </c>
      <c r="K64" s="54">
        <v>1</v>
      </c>
      <c r="L64" s="54">
        <v>10</v>
      </c>
      <c r="M64" s="7">
        <f t="shared" si="5"/>
        <v>0.0030416666666666665</v>
      </c>
      <c r="N64" s="7">
        <f t="shared" si="6"/>
        <v>0.06141666666666667</v>
      </c>
      <c r="O64" s="7">
        <f t="shared" si="7"/>
        <v>0.00014</v>
      </c>
      <c r="P64" s="7">
        <f t="shared" si="8"/>
        <v>0.0019</v>
      </c>
    </row>
    <row r="65" spans="1:16" ht="12.75">
      <c r="A65" s="22" t="s">
        <v>145</v>
      </c>
      <c r="B65" s="22">
        <v>551</v>
      </c>
      <c r="C65" s="22">
        <v>230</v>
      </c>
      <c r="D65" s="22"/>
      <c r="E65" s="22"/>
      <c r="F65" s="22"/>
      <c r="G65" s="22">
        <v>1</v>
      </c>
      <c r="H65" s="22"/>
      <c r="I65" s="22"/>
      <c r="J65" s="45">
        <f t="shared" si="0"/>
        <v>1</v>
      </c>
      <c r="K65" s="54">
        <v>0</v>
      </c>
      <c r="L65" s="54">
        <v>3</v>
      </c>
      <c r="M65" s="7">
        <f t="shared" si="5"/>
        <v>0.0030416666666666665</v>
      </c>
      <c r="N65" s="7">
        <f t="shared" si="6"/>
        <v>0.030708333333333334</v>
      </c>
      <c r="O65" s="7">
        <f t="shared" si="7"/>
        <v>0</v>
      </c>
      <c r="P65" s="7">
        <f t="shared" si="8"/>
        <v>0.00057</v>
      </c>
    </row>
    <row r="66" spans="1:16" ht="12.75">
      <c r="A66" s="22" t="s">
        <v>280</v>
      </c>
      <c r="B66" s="22">
        <v>928</v>
      </c>
      <c r="C66" s="22">
        <v>230</v>
      </c>
      <c r="D66" s="22"/>
      <c r="E66" s="22"/>
      <c r="F66" s="22">
        <v>1</v>
      </c>
      <c r="G66" s="22"/>
      <c r="H66" s="22"/>
      <c r="I66" s="22"/>
      <c r="J66" s="45">
        <f t="shared" si="0"/>
        <v>1</v>
      </c>
      <c r="K66" s="54">
        <v>1</v>
      </c>
      <c r="L66" s="54">
        <v>6</v>
      </c>
      <c r="M66" s="7">
        <f t="shared" si="5"/>
        <v>0.0030416666666666665</v>
      </c>
      <c r="N66" s="7">
        <f t="shared" si="6"/>
        <v>0.030708333333333334</v>
      </c>
      <c r="O66" s="7">
        <f t="shared" si="7"/>
        <v>0.00014</v>
      </c>
      <c r="P66" s="7">
        <f t="shared" si="8"/>
        <v>0.00114</v>
      </c>
    </row>
    <row r="67" spans="1:16" ht="12.75">
      <c r="A67" s="22" t="s">
        <v>146</v>
      </c>
      <c r="B67" s="22">
        <v>434</v>
      </c>
      <c r="C67" s="22">
        <v>230</v>
      </c>
      <c r="D67" s="22"/>
      <c r="E67" s="22"/>
      <c r="F67" s="22"/>
      <c r="G67" s="22"/>
      <c r="H67" s="22"/>
      <c r="I67" s="22"/>
      <c r="J67" s="45">
        <f t="shared" si="0"/>
        <v>0</v>
      </c>
      <c r="K67" s="54">
        <v>3</v>
      </c>
      <c r="L67" s="54">
        <v>3</v>
      </c>
      <c r="M67" s="7">
        <f t="shared" si="5"/>
        <v>0.002625</v>
      </c>
      <c r="N67" s="7">
        <f t="shared" si="6"/>
        <v>0</v>
      </c>
      <c r="O67" s="7">
        <f t="shared" si="7"/>
        <v>0.00042</v>
      </c>
      <c r="P67" s="7">
        <f t="shared" si="8"/>
        <v>0.00057</v>
      </c>
    </row>
    <row r="68" spans="1:16" ht="12.75">
      <c r="A68" s="22" t="s">
        <v>147</v>
      </c>
      <c r="B68" s="22">
        <v>10</v>
      </c>
      <c r="C68" s="22">
        <v>230</v>
      </c>
      <c r="D68" s="22"/>
      <c r="E68" s="22">
        <v>4</v>
      </c>
      <c r="F68" s="22"/>
      <c r="G68" s="22"/>
      <c r="H68" s="22"/>
      <c r="I68" s="22"/>
      <c r="J68" s="45">
        <f t="shared" si="0"/>
        <v>4</v>
      </c>
      <c r="K68" s="54">
        <v>6</v>
      </c>
      <c r="L68" s="54">
        <v>47</v>
      </c>
      <c r="M68" s="7">
        <f t="shared" si="5"/>
        <v>0.0030416666666666665</v>
      </c>
      <c r="N68" s="7">
        <f t="shared" si="6"/>
        <v>0.12283333333333334</v>
      </c>
      <c r="O68" s="7">
        <f t="shared" si="7"/>
        <v>0.00084</v>
      </c>
      <c r="P68" s="7">
        <f t="shared" si="8"/>
        <v>0.00893</v>
      </c>
    </row>
    <row r="69" spans="1:16" ht="12.75">
      <c r="A69" s="22" t="s">
        <v>148</v>
      </c>
      <c r="B69" s="22">
        <v>477</v>
      </c>
      <c r="C69" s="22">
        <v>230</v>
      </c>
      <c r="D69" s="22"/>
      <c r="E69" s="22">
        <v>2</v>
      </c>
      <c r="F69" s="22"/>
      <c r="G69" s="22"/>
      <c r="H69" s="22"/>
      <c r="I69" s="22"/>
      <c r="J69" s="45">
        <f t="shared" si="0"/>
        <v>2</v>
      </c>
      <c r="K69" s="54">
        <v>9</v>
      </c>
      <c r="L69" s="54">
        <v>14</v>
      </c>
      <c r="M69" s="7">
        <f t="shared" si="5"/>
        <v>0.0030416666666666665</v>
      </c>
      <c r="N69" s="7">
        <f t="shared" si="6"/>
        <v>0.06141666666666667</v>
      </c>
      <c r="O69" s="7">
        <f t="shared" si="7"/>
        <v>0.00126</v>
      </c>
      <c r="P69" s="7">
        <f t="shared" si="8"/>
        <v>0.00266</v>
      </c>
    </row>
    <row r="70" spans="1:16" ht="12.75">
      <c r="A70" s="22" t="s">
        <v>149</v>
      </c>
      <c r="B70" s="22">
        <v>495</v>
      </c>
      <c r="C70" s="22">
        <v>500</v>
      </c>
      <c r="D70" s="22">
        <v>6</v>
      </c>
      <c r="E70" s="22"/>
      <c r="F70" s="22"/>
      <c r="G70" s="22"/>
      <c r="H70" s="22"/>
      <c r="I70" s="22"/>
      <c r="J70" s="45">
        <f t="shared" si="0"/>
        <v>6</v>
      </c>
      <c r="K70" s="54">
        <v>6</v>
      </c>
      <c r="L70" s="54">
        <v>21</v>
      </c>
      <c r="M70" s="7">
        <f t="shared" si="5"/>
        <v>0.0030416666666666665</v>
      </c>
      <c r="N70" s="7">
        <f t="shared" si="6"/>
        <v>0.18425</v>
      </c>
      <c r="O70" s="7">
        <f t="shared" si="7"/>
        <v>0.00084</v>
      </c>
      <c r="P70" s="7">
        <f t="shared" si="8"/>
        <v>0.00399</v>
      </c>
    </row>
    <row r="71" spans="1:16" ht="12.75">
      <c r="A71" s="22" t="s">
        <v>150</v>
      </c>
      <c r="B71" s="22">
        <v>54</v>
      </c>
      <c r="C71" s="22">
        <v>138</v>
      </c>
      <c r="D71" s="22"/>
      <c r="E71" s="22"/>
      <c r="F71" s="22"/>
      <c r="G71" s="22"/>
      <c r="H71" s="22"/>
      <c r="I71" s="22"/>
      <c r="J71" s="45">
        <f t="shared" si="0"/>
        <v>0</v>
      </c>
      <c r="K71" s="54">
        <v>3</v>
      </c>
      <c r="L71" s="54">
        <v>12</v>
      </c>
      <c r="M71" s="7">
        <f t="shared" si="5"/>
        <v>0.002625</v>
      </c>
      <c r="N71" s="7">
        <f t="shared" si="6"/>
        <v>0</v>
      </c>
      <c r="O71" s="7">
        <f t="shared" si="7"/>
        <v>0.00042</v>
      </c>
      <c r="P71" s="7">
        <f t="shared" si="8"/>
        <v>0.00228</v>
      </c>
    </row>
    <row r="72" spans="1:16" ht="12.75">
      <c r="A72" s="208" t="s">
        <v>371</v>
      </c>
      <c r="B72" s="22">
        <v>1009</v>
      </c>
      <c r="C72" s="22">
        <v>230</v>
      </c>
      <c r="D72" s="22"/>
      <c r="E72" s="22"/>
      <c r="F72" s="22">
        <v>1</v>
      </c>
      <c r="G72" s="22"/>
      <c r="H72" s="22"/>
      <c r="I72" s="22"/>
      <c r="J72" s="45">
        <f t="shared" si="0"/>
        <v>1</v>
      </c>
      <c r="K72" s="54">
        <v>2</v>
      </c>
      <c r="L72" s="54">
        <v>7</v>
      </c>
      <c r="M72" s="7">
        <f>IF(J72&gt;0,($L$142+$L$143)/10^3/24,($L$142+$L$144)/10^3/24)</f>
        <v>0.0030416666666666665</v>
      </c>
      <c r="N72" s="7">
        <f>J72*$L$147/10^3/24</f>
        <v>0.030708333333333334</v>
      </c>
      <c r="O72" s="7">
        <f t="shared" si="7"/>
        <v>0.00028</v>
      </c>
      <c r="P72" s="7">
        <f t="shared" si="8"/>
        <v>0.00133</v>
      </c>
    </row>
    <row r="73" spans="1:16" ht="12.75">
      <c r="A73" s="22" t="s">
        <v>151</v>
      </c>
      <c r="B73" s="22">
        <v>210</v>
      </c>
      <c r="C73" s="22">
        <v>230</v>
      </c>
      <c r="D73" s="22"/>
      <c r="E73" s="22">
        <v>3</v>
      </c>
      <c r="F73" s="22"/>
      <c r="G73" s="22"/>
      <c r="H73" s="22"/>
      <c r="I73" s="22"/>
      <c r="J73" s="45">
        <f t="shared" si="0"/>
        <v>3</v>
      </c>
      <c r="K73" s="54">
        <v>0</v>
      </c>
      <c r="L73" s="54">
        <v>12</v>
      </c>
      <c r="M73" s="7">
        <f t="shared" si="5"/>
        <v>0.0030416666666666665</v>
      </c>
      <c r="N73" s="7">
        <f t="shared" si="6"/>
        <v>0.092125</v>
      </c>
      <c r="O73" s="7">
        <f t="shared" si="7"/>
        <v>0</v>
      </c>
      <c r="P73" s="7">
        <f t="shared" si="8"/>
        <v>0.00228</v>
      </c>
    </row>
    <row r="74" spans="1:16" ht="12.75">
      <c r="A74" s="22" t="s">
        <v>152</v>
      </c>
      <c r="B74" s="22">
        <v>519</v>
      </c>
      <c r="C74" s="22">
        <v>230</v>
      </c>
      <c r="D74" s="22"/>
      <c r="E74" s="22"/>
      <c r="F74" s="22"/>
      <c r="G74" s="22"/>
      <c r="H74" s="22"/>
      <c r="I74" s="22"/>
      <c r="J74" s="45">
        <f t="shared" si="0"/>
        <v>0</v>
      </c>
      <c r="K74" s="54">
        <v>5</v>
      </c>
      <c r="L74" s="54">
        <v>13</v>
      </c>
      <c r="M74" s="7">
        <f t="shared" si="5"/>
        <v>0.002625</v>
      </c>
      <c r="N74" s="7">
        <f t="shared" si="6"/>
        <v>0</v>
      </c>
      <c r="O74" s="7">
        <f t="shared" si="7"/>
        <v>0.0007</v>
      </c>
      <c r="P74" s="7">
        <f t="shared" si="8"/>
        <v>0.00247</v>
      </c>
    </row>
    <row r="75" spans="1:16" ht="12.75">
      <c r="A75" s="22" t="s">
        <v>153</v>
      </c>
      <c r="B75" s="22">
        <v>175</v>
      </c>
      <c r="C75" s="22">
        <v>138</v>
      </c>
      <c r="D75" s="22"/>
      <c r="E75" s="22"/>
      <c r="F75" s="22"/>
      <c r="G75" s="22"/>
      <c r="H75" s="22"/>
      <c r="I75" s="22"/>
      <c r="J75" s="45">
        <f t="shared" si="0"/>
        <v>0</v>
      </c>
      <c r="K75" s="54">
        <v>0</v>
      </c>
      <c r="L75" s="54">
        <v>4</v>
      </c>
      <c r="M75" s="7">
        <f t="shared" si="5"/>
        <v>0.002625</v>
      </c>
      <c r="N75" s="7">
        <f t="shared" si="6"/>
        <v>0</v>
      </c>
      <c r="O75" s="7">
        <f t="shared" si="7"/>
        <v>0</v>
      </c>
      <c r="P75" s="7">
        <f t="shared" si="8"/>
        <v>0.00076</v>
      </c>
    </row>
    <row r="76" spans="1:16" ht="12.75">
      <c r="A76" s="22" t="s">
        <v>154</v>
      </c>
      <c r="B76" s="22">
        <v>50</v>
      </c>
      <c r="C76" s="22">
        <v>500</v>
      </c>
      <c r="D76" s="22">
        <v>3</v>
      </c>
      <c r="E76" s="22"/>
      <c r="F76" s="22"/>
      <c r="G76" s="22">
        <v>1</v>
      </c>
      <c r="H76" s="22"/>
      <c r="I76" s="22"/>
      <c r="J76" s="45">
        <f t="shared" si="0"/>
        <v>4</v>
      </c>
      <c r="K76" s="54">
        <v>5</v>
      </c>
      <c r="L76" s="54">
        <v>35</v>
      </c>
      <c r="M76" s="7">
        <f t="shared" si="5"/>
        <v>0.0030416666666666665</v>
      </c>
      <c r="N76" s="7">
        <f aca="true" t="shared" si="9" ref="N76:N98">J76*$L$147/10^3/24</f>
        <v>0.12283333333333334</v>
      </c>
      <c r="O76" s="7">
        <f aca="true" t="shared" si="10" ref="O76:O96">K76*$L$146/10^6</f>
        <v>0.0007</v>
      </c>
      <c r="P76" s="7">
        <f aca="true" t="shared" si="11" ref="P76:P96">L76*$L$145/10^6</f>
        <v>0.00665</v>
      </c>
    </row>
    <row r="77" spans="1:16" ht="12.75">
      <c r="A77" s="22" t="s">
        <v>155</v>
      </c>
      <c r="B77" s="22">
        <v>1</v>
      </c>
      <c r="C77" s="22">
        <v>230</v>
      </c>
      <c r="D77" s="22"/>
      <c r="E77" s="22">
        <v>2</v>
      </c>
      <c r="F77" s="22"/>
      <c r="G77" s="22"/>
      <c r="H77" s="22">
        <v>1</v>
      </c>
      <c r="I77" s="22"/>
      <c r="J77" s="45">
        <f t="shared" si="0"/>
        <v>3</v>
      </c>
      <c r="K77" s="54">
        <v>0</v>
      </c>
      <c r="L77" s="54">
        <v>21</v>
      </c>
      <c r="M77" s="7">
        <f t="shared" si="5"/>
        <v>0.0030416666666666665</v>
      </c>
      <c r="N77" s="7">
        <f t="shared" si="9"/>
        <v>0.092125</v>
      </c>
      <c r="O77" s="7">
        <f t="shared" si="10"/>
        <v>0</v>
      </c>
      <c r="P77" s="7">
        <f t="shared" si="11"/>
        <v>0.00399</v>
      </c>
    </row>
    <row r="78" spans="1:16" ht="12.75">
      <c r="A78" s="22" t="s">
        <v>156</v>
      </c>
      <c r="B78" s="22">
        <v>5</v>
      </c>
      <c r="C78" s="22">
        <v>138</v>
      </c>
      <c r="D78" s="22"/>
      <c r="E78" s="22"/>
      <c r="F78" s="22"/>
      <c r="G78" s="22"/>
      <c r="H78" s="22">
        <v>1</v>
      </c>
      <c r="I78" s="22"/>
      <c r="J78" s="45">
        <f t="shared" si="0"/>
        <v>1</v>
      </c>
      <c r="K78" s="54">
        <v>4</v>
      </c>
      <c r="L78" s="54">
        <v>6</v>
      </c>
      <c r="M78" s="7">
        <f aca="true" t="shared" si="12" ref="M78:M97">IF(J78&gt;0,($L$142+$L$143)/10^3/24,($L$142+$L$144)/10^3/24)</f>
        <v>0.0030416666666666665</v>
      </c>
      <c r="N78" s="7">
        <f t="shared" si="9"/>
        <v>0.030708333333333334</v>
      </c>
      <c r="O78" s="7">
        <f t="shared" si="10"/>
        <v>0.00056</v>
      </c>
      <c r="P78" s="7">
        <f t="shared" si="11"/>
        <v>0.00114</v>
      </c>
    </row>
    <row r="79" spans="1:16" ht="12.75">
      <c r="A79" s="22" t="s">
        <v>157</v>
      </c>
      <c r="B79" s="22">
        <v>152</v>
      </c>
      <c r="C79" s="22">
        <v>230</v>
      </c>
      <c r="D79" s="22"/>
      <c r="E79" s="22">
        <v>1</v>
      </c>
      <c r="F79" s="22"/>
      <c r="G79" s="22"/>
      <c r="H79" s="22"/>
      <c r="I79" s="22"/>
      <c r="J79" s="45">
        <f t="shared" si="0"/>
        <v>1</v>
      </c>
      <c r="K79" s="54">
        <v>4</v>
      </c>
      <c r="L79" s="54">
        <v>3</v>
      </c>
      <c r="M79" s="7">
        <f t="shared" si="12"/>
        <v>0.0030416666666666665</v>
      </c>
      <c r="N79" s="7">
        <f t="shared" si="9"/>
        <v>0.030708333333333334</v>
      </c>
      <c r="O79" s="7">
        <f t="shared" si="10"/>
        <v>0.00056</v>
      </c>
      <c r="P79" s="7">
        <f t="shared" si="11"/>
        <v>0.00057</v>
      </c>
    </row>
    <row r="80" spans="1:16" ht="12.75">
      <c r="A80" s="22" t="s">
        <v>158</v>
      </c>
      <c r="B80" s="22">
        <v>246</v>
      </c>
      <c r="C80" s="22">
        <v>500</v>
      </c>
      <c r="D80" s="22">
        <v>3</v>
      </c>
      <c r="E80" s="22">
        <v>2</v>
      </c>
      <c r="F80" s="22"/>
      <c r="G80" s="22"/>
      <c r="H80" s="22"/>
      <c r="I80" s="22"/>
      <c r="J80" s="45">
        <f t="shared" si="0"/>
        <v>5</v>
      </c>
      <c r="K80" s="54">
        <v>0</v>
      </c>
      <c r="L80" s="54">
        <v>29</v>
      </c>
      <c r="M80" s="7">
        <f t="shared" si="12"/>
        <v>0.0030416666666666665</v>
      </c>
      <c r="N80" s="7">
        <f t="shared" si="9"/>
        <v>0.15354166666666666</v>
      </c>
      <c r="O80" s="7">
        <f t="shared" si="10"/>
        <v>0</v>
      </c>
      <c r="P80" s="7">
        <f t="shared" si="11"/>
        <v>0.00551</v>
      </c>
    </row>
    <row r="81" spans="1:16" ht="12.75">
      <c r="A81" s="22" t="s">
        <v>159</v>
      </c>
      <c r="B81" s="22">
        <v>802</v>
      </c>
      <c r="C81" s="22">
        <v>230</v>
      </c>
      <c r="D81" s="22"/>
      <c r="E81" s="22"/>
      <c r="F81" s="22">
        <v>1</v>
      </c>
      <c r="G81" s="22"/>
      <c r="H81" s="22"/>
      <c r="I81" s="22"/>
      <c r="J81" s="45">
        <f t="shared" si="0"/>
        <v>1</v>
      </c>
      <c r="K81" s="54">
        <v>0</v>
      </c>
      <c r="L81" s="54">
        <v>5</v>
      </c>
      <c r="M81" s="7">
        <f t="shared" si="12"/>
        <v>0.0030416666666666665</v>
      </c>
      <c r="N81" s="7">
        <f t="shared" si="9"/>
        <v>0.030708333333333334</v>
      </c>
      <c r="O81" s="7">
        <f t="shared" si="10"/>
        <v>0</v>
      </c>
      <c r="P81" s="7">
        <f t="shared" si="11"/>
        <v>0.00095</v>
      </c>
    </row>
    <row r="82" spans="1:16" ht="12.75">
      <c r="A82" s="22" t="s">
        <v>160</v>
      </c>
      <c r="B82" s="22">
        <v>544</v>
      </c>
      <c r="C82" s="22">
        <v>230</v>
      </c>
      <c r="D82" s="22"/>
      <c r="E82" s="22">
        <v>1</v>
      </c>
      <c r="F82" s="22"/>
      <c r="G82" s="22"/>
      <c r="H82" s="22"/>
      <c r="I82" s="22"/>
      <c r="J82" s="45">
        <f t="shared" si="0"/>
        <v>1</v>
      </c>
      <c r="K82" s="54">
        <v>2</v>
      </c>
      <c r="L82" s="54">
        <v>5</v>
      </c>
      <c r="M82" s="7">
        <f t="shared" si="12"/>
        <v>0.0030416666666666665</v>
      </c>
      <c r="N82" s="7">
        <f t="shared" si="9"/>
        <v>0.030708333333333334</v>
      </c>
      <c r="O82" s="7">
        <f t="shared" si="10"/>
        <v>0.00028</v>
      </c>
      <c r="P82" s="7">
        <f t="shared" si="11"/>
        <v>0.00095</v>
      </c>
    </row>
    <row r="83" spans="1:16" ht="12.75">
      <c r="A83" s="22" t="s">
        <v>161</v>
      </c>
      <c r="B83" s="22">
        <v>78</v>
      </c>
      <c r="C83" s="22">
        <v>138</v>
      </c>
      <c r="D83" s="22"/>
      <c r="E83" s="22"/>
      <c r="F83" s="22"/>
      <c r="G83" s="22"/>
      <c r="H83" s="22"/>
      <c r="I83" s="22"/>
      <c r="J83" s="45">
        <f t="shared" si="0"/>
        <v>0</v>
      </c>
      <c r="K83" s="54">
        <v>0</v>
      </c>
      <c r="L83" s="54">
        <v>2</v>
      </c>
      <c r="M83" s="7">
        <f t="shared" si="12"/>
        <v>0.002625</v>
      </c>
      <c r="N83" s="7">
        <f t="shared" si="9"/>
        <v>0</v>
      </c>
      <c r="O83" s="7">
        <f t="shared" si="10"/>
        <v>0</v>
      </c>
      <c r="P83" s="7">
        <f t="shared" si="11"/>
        <v>0.00038</v>
      </c>
    </row>
    <row r="84" spans="1:16" ht="12.75">
      <c r="A84" s="22" t="s">
        <v>298</v>
      </c>
      <c r="B84" s="22">
        <v>140</v>
      </c>
      <c r="C84" s="22">
        <v>115</v>
      </c>
      <c r="D84" s="22"/>
      <c r="E84" s="22"/>
      <c r="F84" s="22"/>
      <c r="G84" s="22"/>
      <c r="H84" s="22" t="s">
        <v>8</v>
      </c>
      <c r="I84" s="22">
        <v>1</v>
      </c>
      <c r="J84" s="45">
        <f>IF(SUM(D84:I84)&gt;0,SUM(D84:I84),0)</f>
        <v>1</v>
      </c>
      <c r="K84" s="54">
        <v>0</v>
      </c>
      <c r="L84" s="54">
        <v>0</v>
      </c>
      <c r="M84" s="7">
        <f t="shared" si="12"/>
        <v>0.0030416666666666665</v>
      </c>
      <c r="N84" s="7">
        <f t="shared" si="9"/>
        <v>0.030708333333333334</v>
      </c>
      <c r="O84" s="7">
        <f t="shared" si="10"/>
        <v>0</v>
      </c>
      <c r="P84" s="7">
        <f t="shared" si="11"/>
        <v>0</v>
      </c>
    </row>
    <row r="85" spans="1:16" ht="12.75">
      <c r="A85" s="22" t="s">
        <v>162</v>
      </c>
      <c r="B85" s="22">
        <v>305</v>
      </c>
      <c r="C85" s="22">
        <v>138</v>
      </c>
      <c r="D85" s="22"/>
      <c r="E85" s="22"/>
      <c r="F85" s="22"/>
      <c r="G85" s="22"/>
      <c r="H85" s="22">
        <v>1</v>
      </c>
      <c r="I85" s="22"/>
      <c r="J85" s="45">
        <f t="shared" si="0"/>
        <v>1</v>
      </c>
      <c r="K85" s="54">
        <v>3</v>
      </c>
      <c r="L85" s="54">
        <v>5</v>
      </c>
      <c r="M85" s="7">
        <f t="shared" si="12"/>
        <v>0.0030416666666666665</v>
      </c>
      <c r="N85" s="7">
        <f t="shared" si="9"/>
        <v>0.030708333333333334</v>
      </c>
      <c r="O85" s="7">
        <f t="shared" si="10"/>
        <v>0.00042</v>
      </c>
      <c r="P85" s="7">
        <f t="shared" si="11"/>
        <v>0.00095</v>
      </c>
    </row>
    <row r="86" spans="1:16" ht="12.75">
      <c r="A86" s="22" t="s">
        <v>163</v>
      </c>
      <c r="B86" s="22">
        <v>446</v>
      </c>
      <c r="C86" s="22">
        <v>230</v>
      </c>
      <c r="D86" s="22"/>
      <c r="E86" s="22"/>
      <c r="F86" s="22">
        <v>2</v>
      </c>
      <c r="G86" s="22"/>
      <c r="H86" s="22"/>
      <c r="I86" s="22"/>
      <c r="J86" s="45">
        <f t="shared" si="0"/>
        <v>2</v>
      </c>
      <c r="K86" s="54">
        <v>4</v>
      </c>
      <c r="L86" s="54">
        <v>9</v>
      </c>
      <c r="M86" s="7">
        <f t="shared" si="12"/>
        <v>0.0030416666666666665</v>
      </c>
      <c r="N86" s="7">
        <f t="shared" si="9"/>
        <v>0.06141666666666667</v>
      </c>
      <c r="O86" s="7">
        <f t="shared" si="10"/>
        <v>0.00056</v>
      </c>
      <c r="P86" s="7">
        <f t="shared" si="11"/>
        <v>0.00171</v>
      </c>
    </row>
    <row r="87" spans="1:16" ht="12.75">
      <c r="A87" s="22" t="s">
        <v>164</v>
      </c>
      <c r="B87" s="22">
        <v>228</v>
      </c>
      <c r="C87" s="22">
        <v>115</v>
      </c>
      <c r="D87" s="22"/>
      <c r="E87" s="22"/>
      <c r="F87" s="22"/>
      <c r="G87" s="22"/>
      <c r="H87" s="22"/>
      <c r="I87" s="22"/>
      <c r="J87" s="45">
        <f t="shared" si="0"/>
        <v>0</v>
      </c>
      <c r="K87" s="54">
        <v>1</v>
      </c>
      <c r="L87" s="54">
        <v>2</v>
      </c>
      <c r="M87" s="7">
        <f t="shared" si="12"/>
        <v>0.002625</v>
      </c>
      <c r="N87" s="7">
        <f t="shared" si="9"/>
        <v>0</v>
      </c>
      <c r="O87" s="7">
        <f t="shared" si="10"/>
        <v>0.00014</v>
      </c>
      <c r="P87" s="7">
        <f t="shared" si="11"/>
        <v>0.00038</v>
      </c>
    </row>
    <row r="88" spans="1:16" ht="12.75">
      <c r="A88" s="22" t="s">
        <v>165</v>
      </c>
      <c r="B88" s="22">
        <v>80</v>
      </c>
      <c r="C88" s="22">
        <v>230</v>
      </c>
      <c r="D88" s="22"/>
      <c r="E88" s="22">
        <v>1</v>
      </c>
      <c r="F88" s="22"/>
      <c r="G88" s="22"/>
      <c r="H88" s="22"/>
      <c r="I88" s="22"/>
      <c r="J88" s="45">
        <f t="shared" si="0"/>
        <v>1</v>
      </c>
      <c r="K88" s="54">
        <v>6</v>
      </c>
      <c r="L88" s="54">
        <v>7</v>
      </c>
      <c r="M88" s="7">
        <f t="shared" si="12"/>
        <v>0.0030416666666666665</v>
      </c>
      <c r="N88" s="7">
        <f t="shared" si="9"/>
        <v>0.030708333333333334</v>
      </c>
      <c r="O88" s="7">
        <f t="shared" si="10"/>
        <v>0.00084</v>
      </c>
      <c r="P88" s="7">
        <f t="shared" si="11"/>
        <v>0.00133</v>
      </c>
    </row>
    <row r="89" spans="1:16" ht="12.75">
      <c r="A89" s="22" t="s">
        <v>166</v>
      </c>
      <c r="B89" s="22">
        <v>65</v>
      </c>
      <c r="C89" s="22">
        <v>69</v>
      </c>
      <c r="D89" s="22"/>
      <c r="E89" s="22"/>
      <c r="F89" s="22"/>
      <c r="G89" s="22"/>
      <c r="H89" s="22"/>
      <c r="I89" s="22"/>
      <c r="J89" s="45">
        <f t="shared" si="0"/>
        <v>0</v>
      </c>
      <c r="K89" s="54">
        <v>0</v>
      </c>
      <c r="L89" s="54">
        <v>3</v>
      </c>
      <c r="M89" s="7">
        <f t="shared" si="12"/>
        <v>0.002625</v>
      </c>
      <c r="N89" s="7">
        <f t="shared" si="9"/>
        <v>0</v>
      </c>
      <c r="O89" s="7">
        <f t="shared" si="10"/>
        <v>0</v>
      </c>
      <c r="P89" s="7">
        <f t="shared" si="11"/>
        <v>0.00057</v>
      </c>
    </row>
    <row r="90" spans="1:16" ht="12.75">
      <c r="A90" s="22" t="s">
        <v>167</v>
      </c>
      <c r="B90" s="22">
        <v>828</v>
      </c>
      <c r="C90" s="22">
        <v>138</v>
      </c>
      <c r="D90" s="22"/>
      <c r="E90" s="22"/>
      <c r="F90" s="22"/>
      <c r="G90" s="22"/>
      <c r="H90" s="22"/>
      <c r="I90" s="22"/>
      <c r="J90" s="45">
        <f t="shared" si="0"/>
        <v>0</v>
      </c>
      <c r="K90" s="54">
        <v>0</v>
      </c>
      <c r="L90" s="54">
        <v>4</v>
      </c>
      <c r="M90" s="7">
        <f t="shared" si="12"/>
        <v>0.002625</v>
      </c>
      <c r="N90" s="7">
        <f t="shared" si="9"/>
        <v>0</v>
      </c>
      <c r="O90" s="7">
        <f t="shared" si="10"/>
        <v>0</v>
      </c>
      <c r="P90" s="7">
        <f t="shared" si="11"/>
        <v>0.00076</v>
      </c>
    </row>
    <row r="91" spans="1:16" ht="12.75">
      <c r="A91" s="22" t="s">
        <v>168</v>
      </c>
      <c r="B91" s="22">
        <v>482</v>
      </c>
      <c r="C91" s="22">
        <v>500</v>
      </c>
      <c r="D91" s="22">
        <v>3</v>
      </c>
      <c r="E91" s="22"/>
      <c r="F91" s="22"/>
      <c r="G91" s="22"/>
      <c r="H91" s="22"/>
      <c r="I91" s="22"/>
      <c r="J91" s="45">
        <f t="shared" si="0"/>
        <v>3</v>
      </c>
      <c r="K91" s="54">
        <v>3</v>
      </c>
      <c r="L91" s="54">
        <v>11</v>
      </c>
      <c r="M91" s="7">
        <f t="shared" si="12"/>
        <v>0.0030416666666666665</v>
      </c>
      <c r="N91" s="7">
        <f t="shared" si="9"/>
        <v>0.092125</v>
      </c>
      <c r="O91" s="7">
        <f t="shared" si="10"/>
        <v>0.00042</v>
      </c>
      <c r="P91" s="7">
        <f t="shared" si="11"/>
        <v>0.00209</v>
      </c>
    </row>
    <row r="92" spans="1:16" ht="12.75">
      <c r="A92" s="22" t="s">
        <v>169</v>
      </c>
      <c r="B92" s="22">
        <v>95</v>
      </c>
      <c r="C92" s="22">
        <v>115</v>
      </c>
      <c r="D92" s="22"/>
      <c r="E92" s="22"/>
      <c r="F92" s="22"/>
      <c r="G92" s="22"/>
      <c r="H92" s="22"/>
      <c r="I92" s="22"/>
      <c r="J92" s="45">
        <f t="shared" si="0"/>
        <v>0</v>
      </c>
      <c r="K92" s="54">
        <v>3</v>
      </c>
      <c r="L92" s="54">
        <v>4</v>
      </c>
      <c r="M92" s="7">
        <f t="shared" si="12"/>
        <v>0.002625</v>
      </c>
      <c r="N92" s="7">
        <f t="shared" si="9"/>
        <v>0</v>
      </c>
      <c r="O92" s="7">
        <f t="shared" si="10"/>
        <v>0.00042</v>
      </c>
      <c r="P92" s="7">
        <f t="shared" si="11"/>
        <v>0.00076</v>
      </c>
    </row>
    <row r="93" spans="1:16" ht="12.75">
      <c r="A93" s="22" t="s">
        <v>170</v>
      </c>
      <c r="B93" s="22">
        <v>220</v>
      </c>
      <c r="C93" s="22">
        <v>115</v>
      </c>
      <c r="D93" s="22"/>
      <c r="E93" s="22"/>
      <c r="F93" s="22"/>
      <c r="G93" s="22"/>
      <c r="H93" s="22"/>
      <c r="I93" s="22"/>
      <c r="J93" s="45">
        <f t="shared" si="0"/>
        <v>0</v>
      </c>
      <c r="K93" s="54">
        <v>1</v>
      </c>
      <c r="L93" s="54">
        <v>2</v>
      </c>
      <c r="M93" s="7">
        <f t="shared" si="12"/>
        <v>0.002625</v>
      </c>
      <c r="N93" s="7">
        <f t="shared" si="9"/>
        <v>0</v>
      </c>
      <c r="O93" s="7">
        <f t="shared" si="10"/>
        <v>0.00014</v>
      </c>
      <c r="P93" s="7">
        <f t="shared" si="11"/>
        <v>0.00038</v>
      </c>
    </row>
    <row r="94" spans="1:16" ht="12.75">
      <c r="A94" s="22" t="s">
        <v>171</v>
      </c>
      <c r="B94" s="22">
        <v>831</v>
      </c>
      <c r="C94" s="22">
        <v>138</v>
      </c>
      <c r="D94" s="22"/>
      <c r="E94" s="22"/>
      <c r="F94" s="22"/>
      <c r="G94" s="22"/>
      <c r="H94" s="22"/>
      <c r="I94" s="22"/>
      <c r="J94" s="45">
        <f t="shared" si="0"/>
        <v>0</v>
      </c>
      <c r="K94" s="54">
        <v>0</v>
      </c>
      <c r="L94" s="54">
        <v>4</v>
      </c>
      <c r="M94" s="7">
        <f t="shared" si="12"/>
        <v>0.002625</v>
      </c>
      <c r="N94" s="7">
        <f t="shared" si="9"/>
        <v>0</v>
      </c>
      <c r="O94" s="7">
        <f t="shared" si="10"/>
        <v>0</v>
      </c>
      <c r="P94" s="7">
        <f t="shared" si="11"/>
        <v>0.00076</v>
      </c>
    </row>
    <row r="95" spans="1:16" ht="12.75">
      <c r="A95" s="22" t="s">
        <v>309</v>
      </c>
      <c r="B95" s="22">
        <v>800</v>
      </c>
      <c r="C95" s="22">
        <v>230</v>
      </c>
      <c r="D95" s="22"/>
      <c r="E95" s="22"/>
      <c r="F95" s="22">
        <v>1</v>
      </c>
      <c r="G95" s="22"/>
      <c r="H95" s="22"/>
      <c r="I95" s="22"/>
      <c r="J95" s="45">
        <f t="shared" si="0"/>
        <v>1</v>
      </c>
      <c r="K95" s="54"/>
      <c r="L95" s="54"/>
      <c r="M95" s="7">
        <f t="shared" si="12"/>
        <v>0.0030416666666666665</v>
      </c>
      <c r="N95" s="7">
        <f t="shared" si="9"/>
        <v>0.030708333333333334</v>
      </c>
      <c r="O95" s="7"/>
      <c r="P95" s="7"/>
    </row>
    <row r="96" spans="1:16" ht="12.75">
      <c r="A96" s="22" t="s">
        <v>282</v>
      </c>
      <c r="B96" s="22" t="s">
        <v>8</v>
      </c>
      <c r="C96" s="22">
        <v>230</v>
      </c>
      <c r="D96" s="22"/>
      <c r="E96" s="22">
        <v>1</v>
      </c>
      <c r="F96" s="22"/>
      <c r="G96" s="22"/>
      <c r="H96" s="22"/>
      <c r="I96" s="22"/>
      <c r="J96" s="45">
        <f>IF(SUM(D96:I96)&gt;0,SUM(D96:I96),0)</f>
        <v>1</v>
      </c>
      <c r="K96" s="54">
        <v>4</v>
      </c>
      <c r="L96" s="54">
        <v>6</v>
      </c>
      <c r="M96" s="7">
        <f t="shared" si="12"/>
        <v>0.0030416666666666665</v>
      </c>
      <c r="N96" s="7">
        <f t="shared" si="9"/>
        <v>0.030708333333333334</v>
      </c>
      <c r="O96" s="7">
        <f t="shared" si="10"/>
        <v>0.00056</v>
      </c>
      <c r="P96" s="7">
        <f t="shared" si="11"/>
        <v>0.00114</v>
      </c>
    </row>
    <row r="97" spans="1:16" ht="12.75">
      <c r="A97" s="22" t="s">
        <v>255</v>
      </c>
      <c r="B97" s="22"/>
      <c r="C97" s="22">
        <v>230</v>
      </c>
      <c r="D97" s="22"/>
      <c r="E97" s="22"/>
      <c r="F97" s="22">
        <v>1</v>
      </c>
      <c r="G97" s="22"/>
      <c r="H97" s="22"/>
      <c r="I97" s="22"/>
      <c r="J97" s="45">
        <f>IF(SUM(D97:I97)&gt;0,SUM(D97:I97),0)</f>
        <v>1</v>
      </c>
      <c r="K97" s="54"/>
      <c r="L97" s="54"/>
      <c r="M97" s="7">
        <f t="shared" si="12"/>
        <v>0.0030416666666666665</v>
      </c>
      <c r="N97" s="7">
        <f t="shared" si="9"/>
        <v>0.030708333333333334</v>
      </c>
      <c r="O97" s="7"/>
      <c r="P97" s="7"/>
    </row>
    <row r="98" spans="1:16" ht="12.75">
      <c r="A98" s="22" t="s">
        <v>213</v>
      </c>
      <c r="B98" s="22">
        <v>271</v>
      </c>
      <c r="C98" s="22">
        <v>230</v>
      </c>
      <c r="D98" s="22"/>
      <c r="E98" s="22"/>
      <c r="F98" s="22"/>
      <c r="G98" s="22"/>
      <c r="H98" s="22"/>
      <c r="I98" s="22"/>
      <c r="J98" s="45">
        <f t="shared" si="0"/>
        <v>0</v>
      </c>
      <c r="K98" s="54">
        <v>3</v>
      </c>
      <c r="L98" s="54">
        <v>4</v>
      </c>
      <c r="M98" s="7">
        <f aca="true" t="shared" si="13" ref="M98:M134">IF(J98&gt;0,($L$142+$L$143)/10^3/24,($L$142+$L$144)/10^3/24)</f>
        <v>0.002625</v>
      </c>
      <c r="N98" s="7">
        <f t="shared" si="9"/>
        <v>0</v>
      </c>
      <c r="O98" s="7">
        <f aca="true" t="shared" si="14" ref="O98:O114">K98*$L$146/10^6</f>
        <v>0.00042</v>
      </c>
      <c r="P98" s="7">
        <f aca="true" t="shared" si="15" ref="P98:P114">L98*$L$145/10^6</f>
        <v>0.00076</v>
      </c>
    </row>
    <row r="99" spans="1:16" ht="12.75">
      <c r="A99" s="22" t="s">
        <v>172</v>
      </c>
      <c r="B99" s="22">
        <v>295</v>
      </c>
      <c r="C99" s="22">
        <v>230</v>
      </c>
      <c r="D99" s="22"/>
      <c r="E99" s="22">
        <v>1</v>
      </c>
      <c r="F99" s="22"/>
      <c r="G99" s="22"/>
      <c r="H99" s="22"/>
      <c r="I99" s="22"/>
      <c r="J99" s="45">
        <f t="shared" si="0"/>
        <v>1</v>
      </c>
      <c r="K99" s="54">
        <v>3</v>
      </c>
      <c r="L99" s="54">
        <v>8</v>
      </c>
      <c r="M99" s="7">
        <f t="shared" si="13"/>
        <v>0.0030416666666666665</v>
      </c>
      <c r="N99" s="7">
        <f aca="true" t="shared" si="16" ref="N99:N114">J99*$L$147/10^3/24</f>
        <v>0.030708333333333334</v>
      </c>
      <c r="O99" s="7">
        <f t="shared" si="14"/>
        <v>0.00042</v>
      </c>
      <c r="P99" s="7">
        <f t="shared" si="15"/>
        <v>0.00152</v>
      </c>
    </row>
    <row r="100" spans="1:16" ht="12.75">
      <c r="A100" s="22" t="s">
        <v>173</v>
      </c>
      <c r="B100" s="22">
        <v>572</v>
      </c>
      <c r="C100" s="22">
        <v>500</v>
      </c>
      <c r="D100" s="22">
        <v>3</v>
      </c>
      <c r="E100" s="22"/>
      <c r="F100" s="22"/>
      <c r="G100" s="22"/>
      <c r="H100" s="22"/>
      <c r="I100" s="22"/>
      <c r="J100" s="45">
        <f t="shared" si="0"/>
        <v>3</v>
      </c>
      <c r="K100" s="54">
        <v>3</v>
      </c>
      <c r="L100" s="54">
        <v>20</v>
      </c>
      <c r="M100" s="7">
        <f t="shared" si="13"/>
        <v>0.0030416666666666665</v>
      </c>
      <c r="N100" s="7">
        <f t="shared" si="16"/>
        <v>0.092125</v>
      </c>
      <c r="O100" s="7">
        <f t="shared" si="14"/>
        <v>0.00042</v>
      </c>
      <c r="P100" s="7">
        <f t="shared" si="15"/>
        <v>0.0038</v>
      </c>
    </row>
    <row r="101" spans="1:16" ht="12.75">
      <c r="A101" s="22" t="s">
        <v>174</v>
      </c>
      <c r="B101" s="22">
        <v>190</v>
      </c>
      <c r="C101" s="22">
        <v>230</v>
      </c>
      <c r="D101" s="22"/>
      <c r="E101" s="22">
        <v>2</v>
      </c>
      <c r="F101" s="22"/>
      <c r="G101" s="22"/>
      <c r="H101" s="22"/>
      <c r="I101" s="22"/>
      <c r="J101" s="45">
        <f t="shared" si="0"/>
        <v>2</v>
      </c>
      <c r="K101" s="54">
        <v>5</v>
      </c>
      <c r="L101" s="54">
        <v>25</v>
      </c>
      <c r="M101" s="7">
        <f t="shared" si="13"/>
        <v>0.0030416666666666665</v>
      </c>
      <c r="N101" s="7">
        <f t="shared" si="16"/>
        <v>0.06141666666666667</v>
      </c>
      <c r="O101" s="7">
        <f t="shared" si="14"/>
        <v>0.0007</v>
      </c>
      <c r="P101" s="7">
        <f t="shared" si="15"/>
        <v>0.00475</v>
      </c>
    </row>
    <row r="102" spans="1:16" ht="12.75">
      <c r="A102" s="22" t="s">
        <v>175</v>
      </c>
      <c r="B102" s="22">
        <v>159</v>
      </c>
      <c r="C102" s="22">
        <v>230</v>
      </c>
      <c r="D102" s="22"/>
      <c r="E102" s="22"/>
      <c r="F102" s="22"/>
      <c r="G102" s="22"/>
      <c r="H102" s="22"/>
      <c r="I102" s="22"/>
      <c r="J102" s="45">
        <f t="shared" si="0"/>
        <v>0</v>
      </c>
      <c r="K102" s="54">
        <v>0</v>
      </c>
      <c r="L102" s="54">
        <v>3</v>
      </c>
      <c r="M102" s="7">
        <f t="shared" si="13"/>
        <v>0.002625</v>
      </c>
      <c r="N102" s="7">
        <f t="shared" si="16"/>
        <v>0</v>
      </c>
      <c r="O102" s="7">
        <f t="shared" si="14"/>
        <v>0</v>
      </c>
      <c r="P102" s="7">
        <f t="shared" si="15"/>
        <v>0.00057</v>
      </c>
    </row>
    <row r="103" spans="1:16" ht="12.75">
      <c r="A103" s="22" t="s">
        <v>326</v>
      </c>
      <c r="B103" s="22">
        <v>86</v>
      </c>
      <c r="C103" s="22">
        <v>230</v>
      </c>
      <c r="D103" s="22"/>
      <c r="E103" s="22">
        <v>1</v>
      </c>
      <c r="F103" s="22"/>
      <c r="G103" s="22"/>
      <c r="H103" s="22"/>
      <c r="I103" s="22"/>
      <c r="J103" s="45">
        <f t="shared" si="0"/>
        <v>1</v>
      </c>
      <c r="K103" s="54">
        <v>2</v>
      </c>
      <c r="L103" s="54">
        <v>8</v>
      </c>
      <c r="M103" s="7">
        <f t="shared" si="13"/>
        <v>0.0030416666666666665</v>
      </c>
      <c r="N103" s="7">
        <f t="shared" si="16"/>
        <v>0.030708333333333334</v>
      </c>
      <c r="O103" s="7">
        <f t="shared" si="14"/>
        <v>0.00028</v>
      </c>
      <c r="P103" s="7">
        <f t="shared" si="15"/>
        <v>0.00152</v>
      </c>
    </row>
    <row r="104" spans="1:16" ht="12.75">
      <c r="A104" s="22" t="s">
        <v>176</v>
      </c>
      <c r="B104" s="22">
        <v>298</v>
      </c>
      <c r="C104" s="22">
        <v>230</v>
      </c>
      <c r="D104" s="22"/>
      <c r="E104" s="22"/>
      <c r="F104" s="22">
        <v>2</v>
      </c>
      <c r="G104" s="22"/>
      <c r="H104" s="22"/>
      <c r="I104" s="22"/>
      <c r="J104" s="45">
        <f t="shared" si="0"/>
        <v>2</v>
      </c>
      <c r="K104" s="54">
        <v>3</v>
      </c>
      <c r="L104" s="54">
        <v>21</v>
      </c>
      <c r="M104" s="7">
        <f t="shared" si="13"/>
        <v>0.0030416666666666665</v>
      </c>
      <c r="N104" s="7">
        <f t="shared" si="16"/>
        <v>0.06141666666666667</v>
      </c>
      <c r="O104" s="7">
        <f t="shared" si="14"/>
        <v>0.00042</v>
      </c>
      <c r="P104" s="7">
        <f t="shared" si="15"/>
        <v>0.00399</v>
      </c>
    </row>
    <row r="105" spans="1:16" ht="12.75">
      <c r="A105" s="22" t="s">
        <v>177</v>
      </c>
      <c r="B105" s="22">
        <v>360</v>
      </c>
      <c r="C105" s="22">
        <v>138</v>
      </c>
      <c r="D105" s="22"/>
      <c r="E105" s="22"/>
      <c r="F105" s="22"/>
      <c r="G105" s="22"/>
      <c r="H105" s="22"/>
      <c r="I105" s="22"/>
      <c r="J105" s="45">
        <f t="shared" si="0"/>
        <v>0</v>
      </c>
      <c r="K105" s="54">
        <v>3</v>
      </c>
      <c r="L105" s="54">
        <v>6</v>
      </c>
      <c r="M105" s="7">
        <f t="shared" si="13"/>
        <v>0.002625</v>
      </c>
      <c r="N105" s="7">
        <f t="shared" si="16"/>
        <v>0</v>
      </c>
      <c r="O105" s="7">
        <f t="shared" si="14"/>
        <v>0.00042</v>
      </c>
      <c r="P105" s="7">
        <f t="shared" si="15"/>
        <v>0.00114</v>
      </c>
    </row>
    <row r="106" spans="1:16" ht="12.75">
      <c r="A106" s="22" t="s">
        <v>178</v>
      </c>
      <c r="B106" s="22">
        <v>25</v>
      </c>
      <c r="C106" s="22">
        <v>230</v>
      </c>
      <c r="D106" s="22"/>
      <c r="E106" s="22">
        <v>2</v>
      </c>
      <c r="F106" s="22"/>
      <c r="G106" s="22"/>
      <c r="H106" s="22"/>
      <c r="I106" s="22"/>
      <c r="J106" s="45">
        <f t="shared" si="0"/>
        <v>2</v>
      </c>
      <c r="K106" s="54">
        <v>2</v>
      </c>
      <c r="L106" s="54">
        <v>23</v>
      </c>
      <c r="M106" s="7">
        <f t="shared" si="13"/>
        <v>0.0030416666666666665</v>
      </c>
      <c r="N106" s="7">
        <f t="shared" si="16"/>
        <v>0.06141666666666667</v>
      </c>
      <c r="O106" s="7">
        <f t="shared" si="14"/>
        <v>0.00028</v>
      </c>
      <c r="P106" s="7">
        <f t="shared" si="15"/>
        <v>0.00437</v>
      </c>
    </row>
    <row r="107" spans="1:16" ht="12.75">
      <c r="A107" s="22" t="s">
        <v>179</v>
      </c>
      <c r="B107" s="22">
        <v>556</v>
      </c>
      <c r="C107" s="22">
        <v>500</v>
      </c>
      <c r="D107" s="22">
        <v>3</v>
      </c>
      <c r="E107" s="22"/>
      <c r="F107" s="22"/>
      <c r="G107" s="22"/>
      <c r="H107" s="22"/>
      <c r="I107" s="22"/>
      <c r="J107" s="45">
        <f t="shared" si="0"/>
        <v>3</v>
      </c>
      <c r="K107" s="54">
        <v>4</v>
      </c>
      <c r="L107" s="54">
        <v>15</v>
      </c>
      <c r="M107" s="7">
        <f t="shared" si="13"/>
        <v>0.0030416666666666665</v>
      </c>
      <c r="N107" s="7">
        <f t="shared" si="16"/>
        <v>0.092125</v>
      </c>
      <c r="O107" s="7">
        <f t="shared" si="14"/>
        <v>0.00056</v>
      </c>
      <c r="P107" s="7">
        <f t="shared" si="15"/>
        <v>0.00285</v>
      </c>
    </row>
    <row r="108" spans="1:16" ht="12.75">
      <c r="A108" s="22" t="s">
        <v>180</v>
      </c>
      <c r="B108" s="22">
        <v>38</v>
      </c>
      <c r="C108" s="22">
        <v>230</v>
      </c>
      <c r="D108" s="22"/>
      <c r="E108" s="22">
        <v>2</v>
      </c>
      <c r="F108" s="22"/>
      <c r="G108" s="22"/>
      <c r="H108" s="22"/>
      <c r="I108" s="22"/>
      <c r="J108" s="45">
        <f t="shared" si="0"/>
        <v>2</v>
      </c>
      <c r="K108" s="54">
        <v>4</v>
      </c>
      <c r="L108" s="54">
        <v>21</v>
      </c>
      <c r="M108" s="7">
        <f t="shared" si="13"/>
        <v>0.0030416666666666665</v>
      </c>
      <c r="N108" s="7">
        <f t="shared" si="16"/>
        <v>0.06141666666666667</v>
      </c>
      <c r="O108" s="7">
        <f t="shared" si="14"/>
        <v>0.00056</v>
      </c>
      <c r="P108" s="7">
        <f t="shared" si="15"/>
        <v>0.00399</v>
      </c>
    </row>
    <row r="109" spans="1:16" ht="12.75">
      <c r="A109" s="22" t="s">
        <v>181</v>
      </c>
      <c r="B109" s="22">
        <v>223</v>
      </c>
      <c r="C109" s="22">
        <v>138</v>
      </c>
      <c r="D109" s="22"/>
      <c r="E109" s="22"/>
      <c r="F109" s="22"/>
      <c r="G109" s="22"/>
      <c r="H109" s="22"/>
      <c r="I109" s="22"/>
      <c r="J109" s="45">
        <f>IF(SUM(D109:I109)&gt;0,SUM(D109:I109),0)</f>
        <v>0</v>
      </c>
      <c r="K109" s="54">
        <v>5</v>
      </c>
      <c r="L109" s="54">
        <v>6</v>
      </c>
      <c r="M109" s="7">
        <f>IF(J109&gt;0,($L$142+$L$143)/10^3/24,($L$142+$L$144)/10^3/24)</f>
        <v>0.002625</v>
      </c>
      <c r="N109" s="7">
        <f>J109*$L$147/10^3/24</f>
        <v>0</v>
      </c>
      <c r="O109" s="7">
        <f t="shared" si="14"/>
        <v>0.0007</v>
      </c>
      <c r="P109" s="7">
        <f t="shared" si="15"/>
        <v>0.00114</v>
      </c>
    </row>
    <row r="110" spans="1:16" ht="12.75">
      <c r="A110" s="22" t="s">
        <v>182</v>
      </c>
      <c r="B110" s="22">
        <v>73</v>
      </c>
      <c r="C110" s="22">
        <v>138</v>
      </c>
      <c r="D110" s="22"/>
      <c r="E110" s="22">
        <v>1</v>
      </c>
      <c r="F110" s="22"/>
      <c r="G110" s="22"/>
      <c r="H110" s="22"/>
      <c r="I110" s="22"/>
      <c r="J110" s="45">
        <f>IF(SUM(D110:I110)&gt;0,SUM(D110:I110),0)</f>
        <v>1</v>
      </c>
      <c r="K110" s="54">
        <v>0</v>
      </c>
      <c r="L110" s="54">
        <v>14</v>
      </c>
      <c r="M110" s="7">
        <f>IF(J110&gt;0,($L$142+$L$143)/10^3/24,($L$142+$L$144)/10^3/24)</f>
        <v>0.0030416666666666665</v>
      </c>
      <c r="N110" s="7">
        <f>J110*$L$147/10^3/24</f>
        <v>0.030708333333333334</v>
      </c>
      <c r="O110" s="7">
        <f t="shared" si="14"/>
        <v>0</v>
      </c>
      <c r="P110" s="7">
        <f t="shared" si="15"/>
        <v>0.00266</v>
      </c>
    </row>
    <row r="111" spans="1:16" ht="12.75">
      <c r="A111" s="208" t="s">
        <v>372</v>
      </c>
      <c r="B111" s="22">
        <v>1010</v>
      </c>
      <c r="C111" s="22">
        <v>500</v>
      </c>
      <c r="D111" s="22">
        <v>3</v>
      </c>
      <c r="E111" s="22"/>
      <c r="F111" s="22"/>
      <c r="G111" s="22"/>
      <c r="H111" s="22"/>
      <c r="I111" s="22"/>
      <c r="J111" s="45">
        <f>IF(SUM(D111:I111)&gt;0,SUM(D111:I111),0)</f>
        <v>3</v>
      </c>
      <c r="K111" s="54">
        <v>7</v>
      </c>
      <c r="L111" s="54">
        <v>5</v>
      </c>
      <c r="M111" s="7">
        <f>IF(J111&gt;0,($L$142+$L$143)/10^3/24,($L$142+$L$144)/10^3/24)</f>
        <v>0.0030416666666666665</v>
      </c>
      <c r="N111" s="7">
        <f>J111*$L$147/10^3/24</f>
        <v>0.092125</v>
      </c>
      <c r="O111" s="7">
        <f t="shared" si="14"/>
        <v>0.00098</v>
      </c>
      <c r="P111" s="7">
        <f t="shared" si="15"/>
        <v>0.00095</v>
      </c>
    </row>
    <row r="112" spans="1:16" ht="12.75">
      <c r="A112" s="22" t="s">
        <v>183</v>
      </c>
      <c r="B112" s="22">
        <v>435</v>
      </c>
      <c r="C112" s="22">
        <v>69</v>
      </c>
      <c r="D112" s="22"/>
      <c r="E112" s="22"/>
      <c r="F112" s="22"/>
      <c r="G112" s="22"/>
      <c r="H112" s="22"/>
      <c r="I112" s="22"/>
      <c r="J112" s="45">
        <f t="shared" si="0"/>
        <v>0</v>
      </c>
      <c r="K112" s="54">
        <v>10</v>
      </c>
      <c r="L112" s="54">
        <v>4</v>
      </c>
      <c r="M112" s="7">
        <f t="shared" si="13"/>
        <v>0.002625</v>
      </c>
      <c r="N112" s="7">
        <f t="shared" si="16"/>
        <v>0</v>
      </c>
      <c r="O112" s="7">
        <f t="shared" si="14"/>
        <v>0.0014</v>
      </c>
      <c r="P112" s="7">
        <f t="shared" si="15"/>
        <v>0.00076</v>
      </c>
    </row>
    <row r="113" spans="1:16" ht="12.75">
      <c r="A113" s="22" t="s">
        <v>184</v>
      </c>
      <c r="B113" s="22">
        <v>598</v>
      </c>
      <c r="C113" s="22">
        <v>230</v>
      </c>
      <c r="D113" s="22"/>
      <c r="E113" s="22">
        <v>1</v>
      </c>
      <c r="F113" s="22"/>
      <c r="G113" s="22"/>
      <c r="H113" s="22"/>
      <c r="I113" s="22"/>
      <c r="J113" s="45">
        <f t="shared" si="0"/>
        <v>1</v>
      </c>
      <c r="K113" s="54">
        <v>1</v>
      </c>
      <c r="L113" s="54">
        <v>3</v>
      </c>
      <c r="M113" s="7">
        <f t="shared" si="13"/>
        <v>0.0030416666666666665</v>
      </c>
      <c r="N113" s="7">
        <f t="shared" si="16"/>
        <v>0.030708333333333334</v>
      </c>
      <c r="O113" s="7">
        <f t="shared" si="14"/>
        <v>0.00014</v>
      </c>
      <c r="P113" s="7">
        <f t="shared" si="15"/>
        <v>0.00057</v>
      </c>
    </row>
    <row r="114" spans="1:16" ht="12.75">
      <c r="A114" s="22" t="s">
        <v>185</v>
      </c>
      <c r="B114" s="22">
        <v>30</v>
      </c>
      <c r="C114" s="22">
        <v>230</v>
      </c>
      <c r="D114" s="22"/>
      <c r="E114" s="22"/>
      <c r="F114" s="22">
        <v>2</v>
      </c>
      <c r="G114" s="22"/>
      <c r="H114" s="22"/>
      <c r="I114" s="22"/>
      <c r="J114" s="45">
        <f t="shared" si="0"/>
        <v>2</v>
      </c>
      <c r="K114" s="54">
        <v>11</v>
      </c>
      <c r="L114" s="54">
        <v>22</v>
      </c>
      <c r="M114" s="7">
        <f t="shared" si="13"/>
        <v>0.0030416666666666665</v>
      </c>
      <c r="N114" s="7">
        <f t="shared" si="16"/>
        <v>0.06141666666666667</v>
      </c>
      <c r="O114" s="7">
        <f t="shared" si="14"/>
        <v>0.00154</v>
      </c>
      <c r="P114" s="7">
        <f t="shared" si="15"/>
        <v>0.00418</v>
      </c>
    </row>
    <row r="115" spans="1:16" ht="12.75">
      <c r="A115" s="22" t="s">
        <v>186</v>
      </c>
      <c r="B115" s="22">
        <v>487</v>
      </c>
      <c r="C115" s="22">
        <v>230</v>
      </c>
      <c r="D115" s="22"/>
      <c r="E115" s="22"/>
      <c r="F115" s="22"/>
      <c r="G115" s="22">
        <v>2</v>
      </c>
      <c r="H115" s="22"/>
      <c r="I115" s="22"/>
      <c r="J115" s="45">
        <f t="shared" si="0"/>
        <v>2</v>
      </c>
      <c r="K115" s="54">
        <v>4</v>
      </c>
      <c r="L115" s="54">
        <v>7</v>
      </c>
      <c r="M115" s="7">
        <f t="shared" si="13"/>
        <v>0.0030416666666666665</v>
      </c>
      <c r="N115" s="7">
        <f aca="true" t="shared" si="17" ref="N115:N128">J115*$L$147/10^3/24</f>
        <v>0.06141666666666667</v>
      </c>
      <c r="O115" s="7">
        <f aca="true" t="shared" si="18" ref="O115:O128">K115*$L$146/10^6</f>
        <v>0.00056</v>
      </c>
      <c r="P115" s="7">
        <f aca="true" t="shared" si="19" ref="P115:P128">L115*$L$145/10^6</f>
        <v>0.00133</v>
      </c>
    </row>
    <row r="116" spans="1:16" ht="12.75">
      <c r="A116" s="22" t="s">
        <v>187</v>
      </c>
      <c r="B116" s="22">
        <v>462</v>
      </c>
      <c r="C116" s="22">
        <v>230</v>
      </c>
      <c r="D116" s="22"/>
      <c r="E116" s="22">
        <v>1</v>
      </c>
      <c r="F116" s="22"/>
      <c r="G116" s="22"/>
      <c r="H116" s="22"/>
      <c r="I116" s="22"/>
      <c r="J116" s="45">
        <f t="shared" si="0"/>
        <v>1</v>
      </c>
      <c r="K116" s="54">
        <v>1</v>
      </c>
      <c r="L116" s="54">
        <v>9</v>
      </c>
      <c r="M116" s="7">
        <f t="shared" si="13"/>
        <v>0.0030416666666666665</v>
      </c>
      <c r="N116" s="7">
        <f t="shared" si="17"/>
        <v>0.030708333333333334</v>
      </c>
      <c r="O116" s="7">
        <f t="shared" si="18"/>
        <v>0.00014</v>
      </c>
      <c r="P116" s="7">
        <f t="shared" si="19"/>
        <v>0.00171</v>
      </c>
    </row>
    <row r="117" spans="1:16" ht="12.75">
      <c r="A117" s="22" t="s">
        <v>188</v>
      </c>
      <c r="B117" s="22">
        <v>209</v>
      </c>
      <c r="C117" s="22">
        <v>138</v>
      </c>
      <c r="D117" s="22"/>
      <c r="E117" s="22"/>
      <c r="F117" s="22"/>
      <c r="G117" s="22"/>
      <c r="H117" s="22">
        <v>2</v>
      </c>
      <c r="I117" s="22"/>
      <c r="J117" s="45">
        <f t="shared" si="0"/>
        <v>2</v>
      </c>
      <c r="K117" s="54">
        <v>4</v>
      </c>
      <c r="L117" s="54">
        <v>8</v>
      </c>
      <c r="M117" s="7">
        <f t="shared" si="13"/>
        <v>0.0030416666666666665</v>
      </c>
      <c r="N117" s="7">
        <f t="shared" si="17"/>
        <v>0.06141666666666667</v>
      </c>
      <c r="O117" s="7">
        <f t="shared" si="18"/>
        <v>0.00056</v>
      </c>
      <c r="P117" s="7">
        <f t="shared" si="19"/>
        <v>0.00152</v>
      </c>
    </row>
    <row r="118" spans="1:16" ht="12.75">
      <c r="A118" s="22" t="s">
        <v>189</v>
      </c>
      <c r="B118" s="22">
        <v>266</v>
      </c>
      <c r="C118" s="22">
        <v>138</v>
      </c>
      <c r="D118" s="22"/>
      <c r="E118" s="22"/>
      <c r="F118" s="22"/>
      <c r="G118" s="22"/>
      <c r="H118" s="22">
        <v>1</v>
      </c>
      <c r="I118" s="22"/>
      <c r="J118" s="45">
        <f t="shared" si="0"/>
        <v>1</v>
      </c>
      <c r="K118" s="54">
        <v>4</v>
      </c>
      <c r="L118" s="54">
        <v>5</v>
      </c>
      <c r="M118" s="7">
        <f t="shared" si="13"/>
        <v>0.0030416666666666665</v>
      </c>
      <c r="N118" s="7">
        <f t="shared" si="17"/>
        <v>0.030708333333333334</v>
      </c>
      <c r="O118" s="7">
        <f t="shared" si="18"/>
        <v>0.00056</v>
      </c>
      <c r="P118" s="7">
        <f t="shared" si="19"/>
        <v>0.00095</v>
      </c>
    </row>
    <row r="119" spans="1:16" ht="12.75">
      <c r="A119" s="22" t="s">
        <v>190</v>
      </c>
      <c r="B119" s="22">
        <v>97</v>
      </c>
      <c r="C119" s="22">
        <v>138</v>
      </c>
      <c r="D119" s="22"/>
      <c r="E119" s="22"/>
      <c r="F119" s="22"/>
      <c r="G119" s="22"/>
      <c r="H119" s="22"/>
      <c r="I119" s="22"/>
      <c r="J119" s="45">
        <f t="shared" si="0"/>
        <v>0</v>
      </c>
      <c r="K119" s="54">
        <v>4</v>
      </c>
      <c r="L119" s="54">
        <v>6</v>
      </c>
      <c r="M119" s="7">
        <f t="shared" si="13"/>
        <v>0.002625</v>
      </c>
      <c r="N119" s="7">
        <f t="shared" si="17"/>
        <v>0</v>
      </c>
      <c r="O119" s="7">
        <f t="shared" si="18"/>
        <v>0.00056</v>
      </c>
      <c r="P119" s="7">
        <f t="shared" si="19"/>
        <v>0.00114</v>
      </c>
    </row>
    <row r="120" spans="1:16" ht="12.75">
      <c r="A120" s="22" t="s">
        <v>281</v>
      </c>
      <c r="B120" s="22">
        <v>930</v>
      </c>
      <c r="C120" s="22">
        <v>230</v>
      </c>
      <c r="D120" s="22"/>
      <c r="E120" s="22"/>
      <c r="F120" s="22">
        <v>1</v>
      </c>
      <c r="G120" s="22"/>
      <c r="H120" s="22"/>
      <c r="I120" s="22"/>
      <c r="J120" s="45">
        <f t="shared" si="0"/>
        <v>1</v>
      </c>
      <c r="K120" s="54">
        <v>1</v>
      </c>
      <c r="L120" s="54">
        <v>6</v>
      </c>
      <c r="M120" s="7">
        <f t="shared" si="13"/>
        <v>0.0030416666666666665</v>
      </c>
      <c r="N120" s="7">
        <f>J120*$L$147/10^3/24</f>
        <v>0.030708333333333334</v>
      </c>
      <c r="O120" s="7">
        <f>K120*$L$146/10^6</f>
        <v>0.00014</v>
      </c>
      <c r="P120" s="7">
        <f>L120*$L$145/10^6</f>
        <v>0.00114</v>
      </c>
    </row>
    <row r="121" spans="1:16" ht="12.75">
      <c r="A121" s="22" t="s">
        <v>191</v>
      </c>
      <c r="B121" s="22">
        <v>545</v>
      </c>
      <c r="C121" s="22">
        <v>230</v>
      </c>
      <c r="D121" s="22"/>
      <c r="E121" s="22"/>
      <c r="F121" s="22">
        <v>1</v>
      </c>
      <c r="G121" s="22"/>
      <c r="H121" s="22"/>
      <c r="I121" s="22"/>
      <c r="J121" s="45">
        <f t="shared" si="0"/>
        <v>1</v>
      </c>
      <c r="K121" s="54">
        <v>4</v>
      </c>
      <c r="L121" s="54">
        <v>5</v>
      </c>
      <c r="M121" s="7">
        <f t="shared" si="13"/>
        <v>0.0030416666666666665</v>
      </c>
      <c r="N121" s="7">
        <f t="shared" si="17"/>
        <v>0.030708333333333334</v>
      </c>
      <c r="O121" s="7">
        <f t="shared" si="18"/>
        <v>0.00056</v>
      </c>
      <c r="P121" s="7">
        <f t="shared" si="19"/>
        <v>0.00095</v>
      </c>
    </row>
    <row r="122" spans="1:16" ht="12.75">
      <c r="A122" s="22" t="s">
        <v>192</v>
      </c>
      <c r="B122" s="22">
        <v>403</v>
      </c>
      <c r="C122" s="22">
        <v>230</v>
      </c>
      <c r="D122" s="22"/>
      <c r="E122" s="22"/>
      <c r="F122" s="22"/>
      <c r="G122" s="22"/>
      <c r="H122" s="22"/>
      <c r="I122" s="22"/>
      <c r="J122" s="45">
        <f t="shared" si="0"/>
        <v>0</v>
      </c>
      <c r="K122" s="54">
        <v>2</v>
      </c>
      <c r="L122" s="54">
        <v>12</v>
      </c>
      <c r="M122" s="7">
        <f t="shared" si="13"/>
        <v>0.002625</v>
      </c>
      <c r="N122" s="7">
        <f t="shared" si="17"/>
        <v>0</v>
      </c>
      <c r="O122" s="7">
        <f t="shared" si="18"/>
        <v>0.00028</v>
      </c>
      <c r="P122" s="7">
        <f t="shared" si="19"/>
        <v>0.00228</v>
      </c>
    </row>
    <row r="123" spans="1:16" ht="12.75">
      <c r="A123" s="22" t="s">
        <v>193</v>
      </c>
      <c r="B123" s="22">
        <v>45</v>
      </c>
      <c r="C123" s="22">
        <v>115</v>
      </c>
      <c r="D123" s="22"/>
      <c r="E123" s="22"/>
      <c r="F123" s="22"/>
      <c r="G123" s="22"/>
      <c r="H123" s="22"/>
      <c r="I123" s="22">
        <v>0</v>
      </c>
      <c r="J123" s="45">
        <f t="shared" si="0"/>
        <v>0</v>
      </c>
      <c r="K123" s="54">
        <v>0</v>
      </c>
      <c r="L123" s="54">
        <v>3</v>
      </c>
      <c r="M123" s="7">
        <f t="shared" si="13"/>
        <v>0.002625</v>
      </c>
      <c r="N123" s="7">
        <f t="shared" si="17"/>
        <v>0</v>
      </c>
      <c r="O123" s="7">
        <f t="shared" si="18"/>
        <v>0</v>
      </c>
      <c r="P123" s="7">
        <f t="shared" si="19"/>
        <v>0.00057</v>
      </c>
    </row>
    <row r="124" spans="1:16" ht="12.75">
      <c r="A124" s="22" t="s">
        <v>224</v>
      </c>
      <c r="B124" s="22"/>
      <c r="C124" s="22">
        <v>230</v>
      </c>
      <c r="D124" s="22"/>
      <c r="E124" s="22">
        <v>1</v>
      </c>
      <c r="F124" s="22"/>
      <c r="G124" s="22"/>
      <c r="H124" s="22"/>
      <c r="I124" s="22"/>
      <c r="J124" s="45">
        <f t="shared" si="0"/>
        <v>1</v>
      </c>
      <c r="K124" s="54">
        <v>1</v>
      </c>
      <c r="L124" s="54">
        <v>6</v>
      </c>
      <c r="M124" s="7">
        <f t="shared" si="13"/>
        <v>0.0030416666666666665</v>
      </c>
      <c r="N124" s="7">
        <f t="shared" si="17"/>
        <v>0.030708333333333334</v>
      </c>
      <c r="O124" s="7">
        <f t="shared" si="18"/>
        <v>0.00014</v>
      </c>
      <c r="P124" s="7">
        <f t="shared" si="19"/>
        <v>0.00114</v>
      </c>
    </row>
    <row r="125" spans="1:16" ht="12.75">
      <c r="A125" s="22" t="s">
        <v>194</v>
      </c>
      <c r="B125" s="22">
        <v>558</v>
      </c>
      <c r="C125" s="22">
        <v>230</v>
      </c>
      <c r="D125" s="22"/>
      <c r="E125" s="22"/>
      <c r="F125" s="22"/>
      <c r="G125" s="22"/>
      <c r="H125" s="22"/>
      <c r="I125" s="22"/>
      <c r="J125" s="45">
        <f t="shared" si="0"/>
        <v>0</v>
      </c>
      <c r="K125" s="54">
        <v>3</v>
      </c>
      <c r="L125" s="54">
        <v>3</v>
      </c>
      <c r="M125" s="7">
        <f t="shared" si="13"/>
        <v>0.002625</v>
      </c>
      <c r="N125" s="7">
        <f t="shared" si="17"/>
        <v>0</v>
      </c>
      <c r="O125" s="7">
        <f t="shared" si="18"/>
        <v>0.00042</v>
      </c>
      <c r="P125" s="7">
        <f t="shared" si="19"/>
        <v>0.00057</v>
      </c>
    </row>
    <row r="126" spans="1:16" ht="12.75">
      <c r="A126" s="22" t="s">
        <v>56</v>
      </c>
      <c r="B126" s="22">
        <v>264</v>
      </c>
      <c r="C126" s="22">
        <v>230</v>
      </c>
      <c r="D126" s="22"/>
      <c r="E126" s="22"/>
      <c r="F126" s="22"/>
      <c r="G126" s="22"/>
      <c r="H126" s="22"/>
      <c r="I126" s="22"/>
      <c r="J126" s="45">
        <f>IF(SUM(D126:I126)&gt;0,SUM(D126:I126),0)</f>
        <v>0</v>
      </c>
      <c r="K126" s="54">
        <v>11</v>
      </c>
      <c r="L126" s="54">
        <v>28</v>
      </c>
      <c r="M126" s="7">
        <f t="shared" si="13"/>
        <v>0.002625</v>
      </c>
      <c r="N126" s="7">
        <f t="shared" si="17"/>
        <v>0</v>
      </c>
      <c r="O126" s="7">
        <f t="shared" si="18"/>
        <v>0.00154</v>
      </c>
      <c r="P126" s="7">
        <f t="shared" si="19"/>
        <v>0.00532</v>
      </c>
    </row>
    <row r="127" spans="1:16" ht="12.75">
      <c r="A127" s="22" t="s">
        <v>195</v>
      </c>
      <c r="B127" s="22">
        <v>601</v>
      </c>
      <c r="C127" s="22">
        <v>230</v>
      </c>
      <c r="D127" s="22"/>
      <c r="E127" s="22"/>
      <c r="F127" s="22"/>
      <c r="G127" s="22"/>
      <c r="H127" s="22"/>
      <c r="I127" s="22"/>
      <c r="J127" s="45">
        <f t="shared" si="0"/>
        <v>0</v>
      </c>
      <c r="K127" s="54">
        <v>1</v>
      </c>
      <c r="L127" s="54">
        <v>3</v>
      </c>
      <c r="M127" s="7">
        <f t="shared" si="13"/>
        <v>0.002625</v>
      </c>
      <c r="N127" s="7">
        <f t="shared" si="17"/>
        <v>0</v>
      </c>
      <c r="O127" s="7">
        <f t="shared" si="18"/>
        <v>0.00014</v>
      </c>
      <c r="P127" s="7">
        <f t="shared" si="19"/>
        <v>0.00057</v>
      </c>
    </row>
    <row r="128" spans="1:16" ht="12.75">
      <c r="A128" s="22" t="s">
        <v>196</v>
      </c>
      <c r="B128" s="22">
        <v>179</v>
      </c>
      <c r="C128" s="22">
        <v>69</v>
      </c>
      <c r="D128" s="22"/>
      <c r="E128" s="22"/>
      <c r="F128" s="22"/>
      <c r="G128" s="22"/>
      <c r="H128" s="22">
        <v>1</v>
      </c>
      <c r="I128" s="22"/>
      <c r="J128" s="45">
        <f t="shared" si="0"/>
        <v>1</v>
      </c>
      <c r="K128" s="54">
        <v>0</v>
      </c>
      <c r="L128" s="54">
        <v>5</v>
      </c>
      <c r="M128" s="7">
        <f t="shared" si="13"/>
        <v>0.0030416666666666665</v>
      </c>
      <c r="N128" s="7">
        <f t="shared" si="17"/>
        <v>0.030708333333333334</v>
      </c>
      <c r="O128" s="7">
        <f t="shared" si="18"/>
        <v>0</v>
      </c>
      <c r="P128" s="7">
        <f t="shared" si="19"/>
        <v>0.00095</v>
      </c>
    </row>
    <row r="129" spans="1:16" ht="12.75">
      <c r="A129" s="22" t="s">
        <v>197</v>
      </c>
      <c r="B129" s="22">
        <v>334</v>
      </c>
      <c r="C129" s="22">
        <v>138</v>
      </c>
      <c r="D129" s="22"/>
      <c r="E129" s="22"/>
      <c r="F129" s="22"/>
      <c r="G129" s="22"/>
      <c r="H129" s="22"/>
      <c r="I129" s="22"/>
      <c r="J129" s="45">
        <f aca="true" t="shared" si="20" ref="J129:J134">IF(SUM(D129:I129)&gt;0,SUM(D129:I129),0)</f>
        <v>0</v>
      </c>
      <c r="K129" s="54">
        <v>6</v>
      </c>
      <c r="L129" s="54">
        <v>3</v>
      </c>
      <c r="M129" s="7">
        <f t="shared" si="13"/>
        <v>0.002625</v>
      </c>
      <c r="N129" s="7">
        <f aca="true" t="shared" si="21" ref="N129:N134">J129*$L$147/10^3/24</f>
        <v>0</v>
      </c>
      <c r="O129" s="7">
        <f aca="true" t="shared" si="22" ref="O129:O134">K129*$L$146/10^6</f>
        <v>0.00084</v>
      </c>
      <c r="P129" s="7">
        <f aca="true" t="shared" si="23" ref="P129:P134">L129*$L$145/10^6</f>
        <v>0.00057</v>
      </c>
    </row>
    <row r="130" spans="1:16" ht="12.75">
      <c r="A130" s="22" t="s">
        <v>198</v>
      </c>
      <c r="B130" s="22">
        <v>248</v>
      </c>
      <c r="C130" s="22">
        <v>230</v>
      </c>
      <c r="D130" s="22"/>
      <c r="E130" s="22"/>
      <c r="F130" s="22">
        <v>4</v>
      </c>
      <c r="G130" s="22"/>
      <c r="H130" s="22"/>
      <c r="I130" s="22"/>
      <c r="J130" s="45">
        <f t="shared" si="20"/>
        <v>4</v>
      </c>
      <c r="K130" s="54">
        <v>0</v>
      </c>
      <c r="L130" s="54">
        <v>19</v>
      </c>
      <c r="M130" s="7">
        <f t="shared" si="13"/>
        <v>0.0030416666666666665</v>
      </c>
      <c r="N130" s="7">
        <f t="shared" si="21"/>
        <v>0.12283333333333334</v>
      </c>
      <c r="O130" s="7">
        <f t="shared" si="22"/>
        <v>0</v>
      </c>
      <c r="P130" s="7">
        <f t="shared" si="23"/>
        <v>0.00361</v>
      </c>
    </row>
    <row r="131" spans="1:16" ht="12.75">
      <c r="A131" s="22" t="s">
        <v>199</v>
      </c>
      <c r="B131" s="22">
        <v>819</v>
      </c>
      <c r="C131" s="22">
        <v>230</v>
      </c>
      <c r="D131" s="22"/>
      <c r="E131" s="22"/>
      <c r="F131" s="22"/>
      <c r="G131" s="22"/>
      <c r="H131" s="22"/>
      <c r="I131" s="22"/>
      <c r="J131" s="45">
        <f t="shared" si="20"/>
        <v>0</v>
      </c>
      <c r="K131" s="54">
        <v>2</v>
      </c>
      <c r="L131" s="54">
        <v>3</v>
      </c>
      <c r="M131" s="7">
        <f t="shared" si="13"/>
        <v>0.002625</v>
      </c>
      <c r="N131" s="7">
        <f t="shared" si="21"/>
        <v>0</v>
      </c>
      <c r="O131" s="7">
        <f t="shared" si="22"/>
        <v>0.00028</v>
      </c>
      <c r="P131" s="7">
        <f t="shared" si="23"/>
        <v>0.00057</v>
      </c>
    </row>
    <row r="132" spans="1:16" ht="12.75">
      <c r="A132" s="22" t="s">
        <v>200</v>
      </c>
      <c r="B132" s="22">
        <v>250</v>
      </c>
      <c r="C132" s="22">
        <v>138</v>
      </c>
      <c r="D132" s="22"/>
      <c r="E132" s="22"/>
      <c r="F132" s="22"/>
      <c r="G132" s="22"/>
      <c r="H132" s="22">
        <v>0</v>
      </c>
      <c r="I132" s="22"/>
      <c r="J132" s="45">
        <f t="shared" si="20"/>
        <v>0</v>
      </c>
      <c r="K132" s="54">
        <v>4</v>
      </c>
      <c r="L132" s="54">
        <v>15</v>
      </c>
      <c r="M132" s="7">
        <f t="shared" si="13"/>
        <v>0.002625</v>
      </c>
      <c r="N132" s="7">
        <f t="shared" si="21"/>
        <v>0</v>
      </c>
      <c r="O132" s="7">
        <f t="shared" si="22"/>
        <v>0.00056</v>
      </c>
      <c r="P132" s="7">
        <f t="shared" si="23"/>
        <v>0.00285</v>
      </c>
    </row>
    <row r="133" spans="1:16" ht="12.75">
      <c r="A133" s="22" t="s">
        <v>201</v>
      </c>
      <c r="B133" s="22">
        <v>563</v>
      </c>
      <c r="C133" s="22">
        <v>230</v>
      </c>
      <c r="D133" s="22"/>
      <c r="E133" s="22"/>
      <c r="F133" s="22"/>
      <c r="G133" s="22">
        <v>1</v>
      </c>
      <c r="H133" s="22"/>
      <c r="I133" s="22"/>
      <c r="J133" s="45">
        <f t="shared" si="20"/>
        <v>1</v>
      </c>
      <c r="K133" s="54">
        <v>0</v>
      </c>
      <c r="L133" s="54">
        <v>4</v>
      </c>
      <c r="M133" s="7">
        <f t="shared" si="13"/>
        <v>0.0030416666666666665</v>
      </c>
      <c r="N133" s="7">
        <f t="shared" si="21"/>
        <v>0.030708333333333334</v>
      </c>
      <c r="O133" s="7">
        <f t="shared" si="22"/>
        <v>0</v>
      </c>
      <c r="P133" s="7">
        <f t="shared" si="23"/>
        <v>0.00076</v>
      </c>
    </row>
    <row r="134" spans="1:16" ht="13.5" thickBot="1">
      <c r="A134" s="27" t="s">
        <v>202</v>
      </c>
      <c r="B134" s="27">
        <v>324</v>
      </c>
      <c r="C134" s="27">
        <v>230</v>
      </c>
      <c r="D134" s="27"/>
      <c r="E134" s="27">
        <v>2</v>
      </c>
      <c r="F134" s="27"/>
      <c r="G134" s="27"/>
      <c r="H134" s="27"/>
      <c r="I134" s="27"/>
      <c r="J134" s="56">
        <f t="shared" si="20"/>
        <v>2</v>
      </c>
      <c r="K134" s="55">
        <v>3</v>
      </c>
      <c r="L134" s="55">
        <v>10</v>
      </c>
      <c r="M134" s="7">
        <f t="shared" si="13"/>
        <v>0.0030416666666666665</v>
      </c>
      <c r="N134" s="7">
        <f t="shared" si="21"/>
        <v>0.06141666666666667</v>
      </c>
      <c r="O134" s="7">
        <f t="shared" si="22"/>
        <v>0.00042</v>
      </c>
      <c r="P134" s="7">
        <f t="shared" si="23"/>
        <v>0.0019</v>
      </c>
    </row>
    <row r="135" spans="6:16" ht="12.75">
      <c r="F135">
        <f>SUM(D6:I134)</f>
        <v>153</v>
      </c>
      <c r="J135" s="2">
        <f>+SUM(J6:J134)</f>
        <v>153</v>
      </c>
      <c r="L135" s="2" t="s">
        <v>57</v>
      </c>
      <c r="M135" s="38">
        <f>SUM(M6:M134)</f>
        <v>0.37112499999999954</v>
      </c>
      <c r="N135" s="7">
        <f>L138*$L$147/10^3/24</f>
        <v>4.6983749999999995</v>
      </c>
      <c r="O135" s="38">
        <f>J138*L146/10^6</f>
        <v>0.43106</v>
      </c>
      <c r="P135" s="38">
        <f>K138*L145/10^6</f>
        <v>0.29488</v>
      </c>
    </row>
    <row r="137" spans="2:16" ht="13.5" thickBot="1">
      <c r="B137" s="8"/>
      <c r="D137" s="8"/>
      <c r="E137" s="8"/>
      <c r="F137" s="8"/>
      <c r="G137" s="8"/>
      <c r="H137" s="8"/>
      <c r="I137" s="8"/>
      <c r="J137" s="80" t="s">
        <v>343</v>
      </c>
      <c r="K137" s="80" t="s">
        <v>244</v>
      </c>
      <c r="L137" s="80" t="s">
        <v>297</v>
      </c>
      <c r="O137" s="81" t="s">
        <v>203</v>
      </c>
      <c r="P137" s="39">
        <f>SUM(M135:P135)</f>
        <v>5.795439999999998</v>
      </c>
    </row>
    <row r="138" spans="9:12" ht="12.75">
      <c r="I138">
        <f>SUM(J138:K138)</f>
        <v>4631</v>
      </c>
      <c r="J138" s="2">
        <v>3079</v>
      </c>
      <c r="K138" s="2">
        <v>1552</v>
      </c>
      <c r="L138">
        <f>+J135</f>
        <v>153</v>
      </c>
    </row>
    <row r="139" spans="9:16" ht="40.5" customHeight="1">
      <c r="I139" s="8"/>
      <c r="J139" s="80" t="s">
        <v>344</v>
      </c>
      <c r="L139" s="31" t="s">
        <v>204</v>
      </c>
      <c r="M139" s="11"/>
      <c r="N139" s="11"/>
      <c r="O139" s="11"/>
      <c r="P139" s="11"/>
    </row>
    <row r="140" spans="10:16" ht="12.75">
      <c r="J140" s="2">
        <v>2271</v>
      </c>
      <c r="M140" s="11"/>
      <c r="N140" s="11"/>
      <c r="O140" s="11"/>
      <c r="P140" s="11"/>
    </row>
    <row r="141" spans="10:16" ht="13.5" thickBot="1">
      <c r="J141" s="2" t="s">
        <v>345</v>
      </c>
      <c r="M141" s="11"/>
      <c r="N141" s="11"/>
      <c r="O141" s="11"/>
      <c r="P141" s="11"/>
    </row>
    <row r="142" spans="10:13" ht="12.75">
      <c r="J142" s="38">
        <f>J140*L146/10^6</f>
        <v>0.31794</v>
      </c>
      <c r="L142" s="44">
        <v>48</v>
      </c>
      <c r="M142" t="s">
        <v>205</v>
      </c>
    </row>
    <row r="143" spans="12:13" ht="12.75">
      <c r="L143" s="44">
        <v>25</v>
      </c>
      <c r="M143" t="s">
        <v>206</v>
      </c>
    </row>
    <row r="144" spans="12:13" ht="12.75">
      <c r="L144" s="44">
        <v>15</v>
      </c>
      <c r="M144" t="s">
        <v>207</v>
      </c>
    </row>
    <row r="145" spans="12:13" ht="12.75">
      <c r="L145" s="44">
        <v>190</v>
      </c>
      <c r="M145" t="s">
        <v>208</v>
      </c>
    </row>
    <row r="146" spans="12:13" ht="12.75">
      <c r="L146" s="44">
        <v>140</v>
      </c>
      <c r="M146" t="s">
        <v>209</v>
      </c>
    </row>
    <row r="147" spans="12:13" ht="12.75">
      <c r="L147" s="44">
        <v>737</v>
      </c>
      <c r="M147" t="s">
        <v>210</v>
      </c>
    </row>
    <row r="149" spans="9:12" ht="12.75">
      <c r="I149" s="2"/>
      <c r="L149"/>
    </row>
    <row r="150" spans="9:12" ht="12.75">
      <c r="I150" s="2"/>
      <c r="L150"/>
    </row>
    <row r="152" spans="9:12" ht="12.75">
      <c r="I152" s="2"/>
      <c r="L152"/>
    </row>
    <row r="154" spans="9:12" ht="12.75">
      <c r="I154" s="2"/>
      <c r="L154"/>
    </row>
  </sheetData>
  <sheetProtection/>
  <autoFilter ref="A4:A147"/>
  <printOptions gridLines="1"/>
  <pageMargins left="0.75" right="0.75" top="1" bottom="1" header="0.5" footer="0.5"/>
  <pageSetup fitToHeight="7" fitToWidth="1" horizontalDpi="300" verticalDpi="300" orientation="portrait" scale="5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 SUPPLY</dc:creator>
  <cp:keywords/>
  <dc:description/>
  <cp:lastModifiedBy>FPL_User</cp:lastModifiedBy>
  <cp:lastPrinted>2015-03-30T12:24:55Z</cp:lastPrinted>
  <dcterms:created xsi:type="dcterms:W3CDTF">1999-02-24T12:54:38Z</dcterms:created>
  <dcterms:modified xsi:type="dcterms:W3CDTF">2016-04-16T00:58:38Z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Draft</vt:lpwstr>
  </property>
  <property fmtid="{D5CDD505-2E9C-101B-9397-08002B2CF9AE}" pid="3" name="Comments">
    <vt:lpwstr/>
  </property>
  <property fmtid="{D5CDD505-2E9C-101B-9397-08002B2CF9AE}" pid="4" name="Document Type">
    <vt:lpwstr>Question</vt:lpwstr>
  </property>
</Properties>
</file>