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672" windowWidth="15480" windowHeight="6120" tabRatio="919" activeTab="0"/>
  </bookViews>
  <sheets>
    <sheet name="BM 2013-2018" sheetId="1" r:id="rId1"/>
    <sheet name="BM 2010-0213" sheetId="2" state="hidden" r:id="rId2"/>
    <sheet name="2013 BM Detail" sheetId="3" r:id="rId3"/>
    <sheet name="2018 BM Detail" sheetId="4" r:id="rId4"/>
    <sheet name="2010 Filing Test Year BM" sheetId="5" state="hidden" r:id="rId5"/>
    <sheet name="2013 Filing Test Year BM" sheetId="6" r:id="rId6"/>
    <sheet name="2010 BM Detail" sheetId="7" state="hidden" r:id="rId7"/>
    <sheet name="FO Adjustments" sheetId="8" state="hidden" r:id="rId8"/>
    <sheet name="2018 TY Compound Multiplier" sheetId="9" r:id="rId9"/>
    <sheet name="2013 FO Adjustments" sheetId="10" r:id="rId10"/>
    <sheet name="KO 16 adj 2013 TY" sheetId="11" r:id="rId11"/>
    <sheet name="2013 Comp Adj" sheetId="12" r:id="rId12"/>
    <sheet name="2013 TY O&amp;M Exp(RIS)" sheetId="13" r:id="rId13"/>
    <sheet name="2018 SY O&amp;M Exp" sheetId="14" r:id="rId14"/>
    <sheet name="2018 Adj" sheetId="15" r:id="rId15"/>
  </sheets>
  <externalReferences>
    <externalReference r:id="rId18"/>
  </externalReferences>
  <definedNames>
    <definedName name="_xlnm.Print_Area" localSheetId="2">'2013 BM Detail'!$A$3:$G$235</definedName>
    <definedName name="_xlnm.Print_Area" localSheetId="11">'2013 Comp Adj'!$A$4:$I$151</definedName>
    <definedName name="_xlnm.Print_Area" localSheetId="12">'2013 TY O&amp;M Exp(RIS)'!$A$4:$G$184</definedName>
    <definedName name="_xlnm.Print_Area" localSheetId="3">'2018 BM Detail'!$A$4:$G$209</definedName>
    <definedName name="_xlnm.Print_Area" localSheetId="13">'2018 SY O&amp;M Exp'!$A$4:$G$206</definedName>
    <definedName name="_xlnm.Print_Area" localSheetId="10">'KO 16 adj 2013 TY'!$A$3:$V$66</definedName>
    <definedName name="_xlnm.Print_Titles" localSheetId="6">'2010 BM Detail'!$2:$2</definedName>
    <definedName name="_xlnm.Print_Titles" localSheetId="2">'2013 BM Detail'!$3:$4</definedName>
    <definedName name="_xlnm.Print_Titles" localSheetId="3">'2018 BM Detail'!$4:$5</definedName>
    <definedName name="_xlnm.Print_Titles" localSheetId="13">'2018 SY O&amp;M Exp'!$4:$5</definedName>
    <definedName name="_xlnm.Print_Titles" localSheetId="10">'KO 16 adj 2013 TY'!$A:$B</definedName>
  </definedNames>
  <calcPr fullCalcOnLoad="1"/>
</workbook>
</file>

<file path=xl/sharedStrings.xml><?xml version="1.0" encoding="utf-8"?>
<sst xmlns="http://schemas.openxmlformats.org/spreadsheetml/2006/main" count="2371" uniqueCount="1127">
  <si>
    <t>2010 BENCHMARK O&amp;M</t>
  </si>
  <si>
    <t>COMPANY PER BOOK</t>
  </si>
  <si>
    <t>COMM  ADJ PER BOOK</t>
  </si>
  <si>
    <t>ADJ UTILITY PER BOOK</t>
  </si>
  <si>
    <t>ADDITIONAL BM ADJUST *</t>
  </si>
  <si>
    <t>BENCHMARK   O&amp;M</t>
  </si>
  <si>
    <t>STEAM POWER</t>
  </si>
  <si>
    <t>INC100000 - STEAM POWER - OPERATION SUPERVISION &amp; ENGINEERIN</t>
  </si>
  <si>
    <t>INC101110 - STEAM POWER - FUEL - OIL, GAS &amp; COAL</t>
  </si>
  <si>
    <t>INC101210 - STEAM POWER - FUEL - NON RECV EXP</t>
  </si>
  <si>
    <t>INC102000 - STEAM POWER - STEAM EXPENSES</t>
  </si>
  <si>
    <t>INC105000 - STEAM POWER - ELECTRIC EXPENSES</t>
  </si>
  <si>
    <t>INC106100 - STEAM POWER - MISC STEAM POWER EXPENSES- ECRC -</t>
  </si>
  <si>
    <t>INC106310 - STEAM POWER - MISC - ADDITIONAL SECURITY</t>
  </si>
  <si>
    <t>INC107000 - STEAM POWER - RENTS</t>
  </si>
  <si>
    <t>INC109000 - STEAM POWER - EMISSION ALLOWANCES - ECRC -</t>
  </si>
  <si>
    <t>INC110000 - STEAM POWER - MAINTENANCE SUPERVISION &amp; ENGINEER</t>
  </si>
  <si>
    <t>INC111000 - STEAM POWER - MAINTENANCE OF STRUCTURES</t>
  </si>
  <si>
    <t>INC111100 - STEAM POWER - MAINT OF STRUCTURES - ECRC -</t>
  </si>
  <si>
    <t>INC111880 - STEAM POWER - LOW GRAVITY FUEL OIL MOD</t>
  </si>
  <si>
    <t>INC112000 - STEAM POWER - MAINTENANCE OF BOILER PLANT</t>
  </si>
  <si>
    <t>INC112100 - STEAM POWER - MAINT OF BOILER PLANT - ECRC -</t>
  </si>
  <si>
    <t>INC113000 - STEAM POWER - MAINTENANCE OF ELECTRIC PLANT</t>
  </si>
  <si>
    <t>INC114000 - STEAM POWER - MAINTENANCE OF MISCELLANEOUS STEAM</t>
  </si>
  <si>
    <t>INC114100 - STEAM POWER - MAINT OF MISC STEAM PLT - ECRC -</t>
  </si>
  <si>
    <t xml:space="preserve">      SUBTOTAL STEAM POWER</t>
  </si>
  <si>
    <t>NUCLEAR POWER</t>
  </si>
  <si>
    <t>INC117000 - NUCLEAR POWER - OPERATION SUPERVISION &amp; ENGINEER</t>
  </si>
  <si>
    <t>INC118110 - NUCLEAR POWER - NUCL FUEL EXP - BURNUP CHARGE LE</t>
  </si>
  <si>
    <t>INC118151 - NUCLEAR POWER - NUCL FUEL EXP - FUEL DISPOSAL CO</t>
  </si>
  <si>
    <t>INC118160 - NUCLEAR POWER - MISC - ADDITIONAL SECURITY</t>
  </si>
  <si>
    <t>INC118165 - NUCLEAR POWER - NUC FUEL EXP - D&amp;D FUND - FPSC</t>
  </si>
  <si>
    <t>INC118166 - NUCLEAR POWER - NUC FUEL EXP - D&amp;D FUND - FERC</t>
  </si>
  <si>
    <t>INC118170 - NUCLEAR FUEL EXP-RECOVERABLE-AFUDC-FPSC</t>
  </si>
  <si>
    <t>INC118175 - NUCLEAR FUEL EXP - RECOVERABLE-D&amp;D ASSESS</t>
  </si>
  <si>
    <t>INC118180 - NUCLEAR FUEL - PTN THERMAL UPRATE AMORT</t>
  </si>
  <si>
    <t>INC118210 - NUCLEAR POWER - NUCL FUEL EXP - NON RECOV FUEL E</t>
  </si>
  <si>
    <t>INC119000 - NUCLEAR POWER - COOLANTS AND WATER</t>
  </si>
  <si>
    <t>INC120000 - NUCLEAR POWER - STEAM EXPENSES</t>
  </si>
  <si>
    <t>INC120100 - NUCLEAR POWER - STEAM EXPENSES - ECRC -</t>
  </si>
  <si>
    <t>INC123000 - NUCLEAR POWER - ELECTRIC EXPENSES</t>
  </si>
  <si>
    <t>INC124000 - NUCLEAR POWER - MISCELLANEOUS NUCLEAR POWER EXPE</t>
  </si>
  <si>
    <t>INC124100 - NUCLEAR POWER - MISC NUCLEAR POWER EXP - ECRC -</t>
  </si>
  <si>
    <t>INC125000 - NUCLEAR POWER - RENTS</t>
  </si>
  <si>
    <t>INC128000 - NUCLEAR POWER - MAINTENANCE SUPERVISION &amp; ENGINE</t>
  </si>
  <si>
    <t>INC129000 - NUCLEAR POWER - MAINTENANCE OF STRUCTURES</t>
  </si>
  <si>
    <t>INC129100 - NUCLEAR POWER - MAINT OF STRUCTURES - ECRC -</t>
  </si>
  <si>
    <t>INC130000 - NUCLEAR POWER - MAINTENANCE OF REACTOR PLANT</t>
  </si>
  <si>
    <t>INC131000 - NUCLEAR POWER - MAINTENANCE OF ELECTRIC PLANT</t>
  </si>
  <si>
    <t>INC132000 - NUCLEAR POWER - MAINTENANCE OF MISC NUCLEAR PLAN</t>
  </si>
  <si>
    <t>INC132100 - NUCLEAR POWER - MAINT OF MISC NUC PLT - ECRC -</t>
  </si>
  <si>
    <t xml:space="preserve">      SUBTOTAL NUCLEAR POWER</t>
  </si>
  <si>
    <t>OTHER PRODUCTION</t>
  </si>
  <si>
    <t>INC146000 - OTHER POWER - OPERATION SUPERVISION &amp; ENGINEERIN</t>
  </si>
  <si>
    <t>INC147110 - OTHER POWER - FUEL - OIL, GAS &amp; COAL</t>
  </si>
  <si>
    <t>INC147200 - OTHER POWER - FUEL -NON RECOV ANNUAL EMISSIONS F</t>
  </si>
  <si>
    <t>INC148000 - OTHER POWER - GENERATION EXPENSES</t>
  </si>
  <si>
    <t>INC149000 - OTHER POWER - MISC OTHER POWER GENERATION EXPENS</t>
  </si>
  <si>
    <t>INC149100 - OTHER POWER - MISC OTHER POWER GEN EXP - ECRC -</t>
  </si>
  <si>
    <t>INC149900 - OTHER POWER - ADDITIONAL SECURITY</t>
  </si>
  <si>
    <t>INC150000 - OTHER POWER - RENTS - GAS TURBINES ENGINE SERVCI</t>
  </si>
  <si>
    <t>INC151000 - OTHER POWER - MAINTENANCE SUPERVISION &amp; ENGINEER</t>
  </si>
  <si>
    <t>INC152000 - OTHER POWER - MAINTENANCE OF STRUCTURES</t>
  </si>
  <si>
    <t>INC152100 - OTHER POWER - MAINT OF STRUCTURES - ECRC -</t>
  </si>
  <si>
    <t xml:space="preserve">INC153000 - OTHER POWER - MAINTENANCE GENERATING &amp; ELECTRIC </t>
  </si>
  <si>
    <t>INC153090 - OTHER POWER - GAS TURBINE MAINTENANCE FUEL</t>
  </si>
  <si>
    <t>INC153100 - OTHER POWER - MAINT GEN &amp; ELECT PLT - ECRC -</t>
  </si>
  <si>
    <t>INC154000 - OTHER POWER - MAINTENANCE MISC OTHER POWER GENER</t>
  </si>
  <si>
    <t>INC154100 - OTHER POWER - MAINT MISC OTH PWR GEN - ECRC -</t>
  </si>
  <si>
    <t xml:space="preserve">      SUBTOTAL PRODUCTION</t>
  </si>
  <si>
    <t>OTHER POWER SUPPLY</t>
  </si>
  <si>
    <t>INC155110 - OTHER POWER - PURCHASED POWER - INTERCHANGE RECO</t>
  </si>
  <si>
    <t>INC155210 - OTHER POWER - PURCHASED POWER - NON RECOVERABLE</t>
  </si>
  <si>
    <t>INC155250 - OTHER POWER - SJRPP - FPSC - 88TSR</t>
  </si>
  <si>
    <t>INC155410 - OTHER POWER - UPS CAPACITY CHGS -</t>
  </si>
  <si>
    <t>INC155431 - OTHER POWER - SJRPP CAP -   - 88TSR</t>
  </si>
  <si>
    <t>INC156000 - OTHER POWER - SYSTEM CONTROL AND LOAD DISPATCHIN</t>
  </si>
  <si>
    <t>INC157000 - OTHER POWER - OTHER EXPENSES</t>
  </si>
  <si>
    <t>INC157900 - OTHER POWER - OTHER EXPENSES - DEFERRED FUEL FPS</t>
  </si>
  <si>
    <t>INC157944 - OTHER POWER - OTHER EXPENSES - DEFERRED CAPACITY</t>
  </si>
  <si>
    <t>INC157949 - OTHER POWER - OTHER EXPENSES - DEFERRED - ECRC</t>
  </si>
  <si>
    <t>INC157980 - OTHER POWER - OTHER EXPENSES - DEFERRED FUEL FER</t>
  </si>
  <si>
    <t xml:space="preserve">      SUBTOTAL OTHER POWER SUPPLY</t>
  </si>
  <si>
    <t>TRANSMISSION</t>
  </si>
  <si>
    <t>INC260010 - TRANS EXP - OPERATION SUPERV &amp; ENGINEERING</t>
  </si>
  <si>
    <t>INC261000 - TRANS EXP - LOAD DISPATCHING</t>
  </si>
  <si>
    <t>INC262000 - TRANS EXP - STATION EXPENSES</t>
  </si>
  <si>
    <t>INC262005 - TRANS EXP - STATION EXPENSES - FPLNE</t>
  </si>
  <si>
    <t>INC263000 - TRANS EXP - OVERHEAD LINE EXPENSES</t>
  </si>
  <si>
    <t>INC264000 - TRANS EXP - UNDERGROUND LINE EXPENSES</t>
  </si>
  <si>
    <t>INC265000 - TRANS EXP - TRANSMISSION OF ELECTRICITY BY OTHER</t>
  </si>
  <si>
    <t>INC265120 - TRANS EXPENSE BY OTHERS FPL SALES -</t>
  </si>
  <si>
    <t>INC265130 - TRANS EXP - INTERCHANGE RECOVERABLE</t>
  </si>
  <si>
    <t>INC265200 - TRANS EXP - TRANSMISSION OF ELECTRICITY - RTO</t>
  </si>
  <si>
    <t>INC266000 - TRANS EXP - MISC TRANSMISSION EXPENSES</t>
  </si>
  <si>
    <t>INC267000 - TRANS EXP - RENTS</t>
  </si>
  <si>
    <t>INC268010 - TRANS EXP - MAINTENANCE SUPERV &amp; ENGINEERING</t>
  </si>
  <si>
    <t>INC269000 - TRANS EXP - MAINTENANCE OF STRUCTURES</t>
  </si>
  <si>
    <t>INC270000 - TRANS EXP - MAINTENANCE OF STATION EQUIPMENT</t>
  </si>
  <si>
    <t>INC270005 - TRANS EXP - MAINTENANCE OF STATION EQUIP - FPLNE</t>
  </si>
  <si>
    <t>INC270020 - TRANS EXP - MAINT OF STATION EQUIP - ECRC -</t>
  </si>
  <si>
    <t>INC271000 - TRANS EXP - MAINTENANCE OF OVERHEAD LINES</t>
  </si>
  <si>
    <t>INC272000 - TRANS EXP - MAINTENANCE OF UNDERGROUND LINES</t>
  </si>
  <si>
    <t>INC273000 - TRANS EXP - MAINTENANCE OF MISC TRANS PLANT</t>
  </si>
  <si>
    <t xml:space="preserve">      SUBTOTAL TRANSMISSION</t>
  </si>
  <si>
    <t>DISTRIBUTION</t>
  </si>
  <si>
    <t>INC380000 - DIST EXP - OPERATION SUPERVISION AND ENGINEERING</t>
  </si>
  <si>
    <t>INC381000 - DIST EXP - LOAD DISPATCHING</t>
  </si>
  <si>
    <t>INC382000 - DIST EXP - SUBSTATION EXPENSES</t>
  </si>
  <si>
    <t>INC383000 - DIST EXP - OVERHEAD LINE EXPENSES</t>
  </si>
  <si>
    <t>INC384000 - DIST EXP - UNDERGROUND LINE EXPENSES</t>
  </si>
  <si>
    <t>INC385000 - DIST EXP - STREET LIGHTING AND SIGNAL SYSTEM EXP</t>
  </si>
  <si>
    <t>INC386000 - DIST EXP - METER EXPENSES</t>
  </si>
  <si>
    <t>INC387000 - DIST EXP - CUSTOMER INSTALLATIONS EXPENSES</t>
  </si>
  <si>
    <t>INC387010 - DIST EXP - LMS-LOAD CONTROL RECOVERABLE -ECCR</t>
  </si>
  <si>
    <t>INC388000 - DIST EXP - MISCELLANEOUS DISTRIBUTION EXPENSES</t>
  </si>
  <si>
    <t>INC389000 - DIST EXP - RENTS</t>
  </si>
  <si>
    <t>INC390000 - DIST EXP - MAINTENANCE SUPERVISION AND ENGINEERI</t>
  </si>
  <si>
    <t>INC390010 - DIST EXP - MAINT-LMS-LOAD CONTROL RECOVERABLE -E</t>
  </si>
  <si>
    <t>INC391000 - DIST EXP - MAINTENANCE OF STRUCTURES</t>
  </si>
  <si>
    <t>INC392000 - DIST EXP - MAINTENANCE OF STATION EQUIPMENT</t>
  </si>
  <si>
    <t>INC392010 - DIST EXP - MAINT OF STATION EQUIP - ECRC -</t>
  </si>
  <si>
    <t>INC393000 - DIST EXP - MAINTENANCE OF OVERHEAD LINES</t>
  </si>
  <si>
    <t>INC394000 - DIST EXP - MAINTENANCE OF UNDERGROUND LINES</t>
  </si>
  <si>
    <t>INC395000 - DIST EXP - MAINTENANCE OF LINE TRANSFORMERS</t>
  </si>
  <si>
    <t>INC396000 - DIST EXP - MAINT OF STREET LIGHTING &amp; SIGNAL SYS</t>
  </si>
  <si>
    <t>INC397000 - DIST EXP - MAINTENANCE OF METERS</t>
  </si>
  <si>
    <t>INC398000 - DIST EXP - MAINTENANCE OF MISC DISTRIBUTION PLAN</t>
  </si>
  <si>
    <t xml:space="preserve">      SUBTOTAL DISTRIBUTION</t>
  </si>
  <si>
    <t>CUSTOMER ACCOUNTS</t>
  </si>
  <si>
    <t>INC401000 - CUST ACCT EXP - SUPERVISION</t>
  </si>
  <si>
    <t>INC402000 - CUST ACCT EXP - METER READING EXPENSES</t>
  </si>
  <si>
    <t xml:space="preserve">INC403000 - CUST ACCT EXP - CUSTOMER RECORDS AND COLLECTION </t>
  </si>
  <si>
    <t>INC404000 - CUST ACCT EXP - UNCOLLECTIBLE ACCOUNTS</t>
  </si>
  <si>
    <t>INC404151 - CUST ACCT EXP - UNCOLL ACCTS - STORM SECURITIZAT</t>
  </si>
  <si>
    <t>INC405000 - CUST ACCT EXP - MISC CUSTOMER ACCOUNTS EXPENSES</t>
  </si>
  <si>
    <t xml:space="preserve">      SUBTOTAL CUSTOMER ACCOUNTS</t>
  </si>
  <si>
    <t>CUSTOMER SERVICE</t>
  </si>
  <si>
    <t>INC407000 - CUST SERV &amp; INFO - SUPERVISION</t>
  </si>
  <si>
    <t>INC407100 - CUST SERV &amp; INFO - SUPERVISION - ECCR RECOVERABL</t>
  </si>
  <si>
    <t>INC408000 - CUST SERV &amp; INFO - CUST ASSISTANCE EXP</t>
  </si>
  <si>
    <t>INC408100 - CUST SERV &amp; INFO - CUST ASSISTANCE EXP - ECCR RE</t>
  </si>
  <si>
    <t>INC409000 - CUST SERV &amp; INFO - INFO &amp; INST ADV - GENERAL</t>
  </si>
  <si>
    <t>INC409100 - CUST SERV &amp; INFO - INFO &amp; INST ADV -ECCR RECOV</t>
  </si>
  <si>
    <t>INC410000 - CUST SERV &amp; INFO - MISC CUST SERV &amp; INFO EXP</t>
  </si>
  <si>
    <t>INC410100 - CUST SERV &amp; INFO - MISC CUST SERV &amp; INFO EXP - E</t>
  </si>
  <si>
    <t xml:space="preserve">      SUBTOTAL CUSTOMER SERVICE</t>
  </si>
  <si>
    <t>SALES</t>
  </si>
  <si>
    <t>INC411000 - SUPERVISION-SALES EXPENSES</t>
  </si>
  <si>
    <t>INC510000 - DEMONSTRATING AND SELLING EXPENSES</t>
  </si>
  <si>
    <t>INC516000 - MISCELLANEOUS AND SELLING EXPENSES</t>
  </si>
  <si>
    <t xml:space="preserve">      SUBTOTAL SALES</t>
  </si>
  <si>
    <t>ADMINISTRATIVE AND GENERAL</t>
  </si>
  <si>
    <t>INC520010 - A&amp;G EXP - ADMINISTRATIVE &amp; GENERAL SALARIES</t>
  </si>
  <si>
    <t>INC520998 - A&amp;G EXP - ADMINISTRATIVE &amp; GENERAL SALARIES - FP</t>
  </si>
  <si>
    <t>INC521000 - A&amp;G EXP - OFFICE SUPPLIES AND EXPENSES</t>
  </si>
  <si>
    <t>INC521005 - A&amp;G EXP - OFFICE SUPPLIES AND EXPENSES- FPLNE NE</t>
  </si>
  <si>
    <t>INC521151 - A&amp;G EXP - ADMINISTRATION FEES - FREC</t>
  </si>
  <si>
    <t>INC522000 - A&amp;G EXP - ADMINISTRATIVE EXPENSES TRANSFERRED CR</t>
  </si>
  <si>
    <t>INC522151 - A&amp;G EXP - EXPENSES TRANSFERRED - FREC</t>
  </si>
  <si>
    <t>INC522998 - A&amp;G EXP - PENSION &amp; WELFARE  CR. - FPLNE</t>
  </si>
  <si>
    <t>INC523000 - A&amp;G EXP - OUTSIDE SERVICES EMPLOYED</t>
  </si>
  <si>
    <t>INC523100 - A&amp;G EXP - LEGAL EXPENSES - SEABROOK</t>
  </si>
  <si>
    <t>INC523151 - A&amp;G EXP - SERVICING FEES  - FREC</t>
  </si>
  <si>
    <t>INC524000 - A&amp;G EXP - PROPERTY INSURANCE</t>
  </si>
  <si>
    <t>INC524100 - A&amp;G EXP - PROPERTY INSURANCE - NUCLEAR OUTAGE</t>
  </si>
  <si>
    <t>INC524121 - A&amp;G EXP - STORM DEFICIENCY RECOVERY</t>
  </si>
  <si>
    <t>INC524998 - A&amp;G EXP - PROPERTY INSURANCE - FPLNE</t>
  </si>
  <si>
    <t>INC525000 - A&amp;G EXP - INJURIES AND DAMAGES</t>
  </si>
  <si>
    <t>INC525100 - A&amp;G EXP - INJURIES &amp; DAMAGES - CPRC</t>
  </si>
  <si>
    <t>INC525998 - A&amp;G EXP - INJURIES AND DAMAGES - FPLNE</t>
  </si>
  <si>
    <t>INC526100 - A&amp;G EXP - EMP PENSIONS &amp; BENEFITS</t>
  </si>
  <si>
    <t>INC526110 - A&amp;G EXP - EMP PENSIONS &amp; BENEFITS - FUEL</t>
  </si>
  <si>
    <t>INC526120 - A&amp;G EXP - EMP PENSIONS &amp; BENEFITS - ECRC</t>
  </si>
  <si>
    <t>INC526211 - A&amp;G EXP - EMP PENSIONS &amp; BENEFITS - ECCR</t>
  </si>
  <si>
    <t>INC526650 - A&amp;G EXP - EMP PENSIONS &amp; BENEFITS - DENTAL EXPEN</t>
  </si>
  <si>
    <t>INC526998 - A&amp;G EXP - EMP PENSIONS &amp; BENEFITS - FPLNE</t>
  </si>
  <si>
    <t>INC528010 - A&amp;G EXP - REGULATORY COMMISSION EXPENSE - FPSC</t>
  </si>
  <si>
    <t>INC528020 - A&amp;G EXP - REGULATORY COMMISSION EXPENSE - FERC</t>
  </si>
  <si>
    <t>INC528100 - A&amp;G EXP - REGULATORY COMMISSION EXPENSE - FERC F</t>
  </si>
  <si>
    <t>INC529100 - A&amp;G EXP - DUPLICATE CHARGES CR - ECCR COSTS DEFE</t>
  </si>
  <si>
    <t>INC530000 - A&amp;G EXP - MISC GENERAL EXPENSES</t>
  </si>
  <si>
    <t>INC530151 - MISC GENERAL EXPENSES - FREC</t>
  </si>
  <si>
    <t>INC530300 - A&amp;G EXP - MISC GENERAL EXPENSES - EPRI</t>
  </si>
  <si>
    <t>INC531000 - A&amp;G EXP - RENTS</t>
  </si>
  <si>
    <t>INC531100 - A&amp;G EXP - RENTS - ECCR</t>
  </si>
  <si>
    <t>INC535000 - A&amp;G EXP - MAINTENANCE OF GENERAL PLANT</t>
  </si>
  <si>
    <t xml:space="preserve">      SUBTOTAL ADMINISTRATIVE AND GENERAL</t>
  </si>
  <si>
    <t>TOTAL O&amp;M</t>
  </si>
  <si>
    <t>Additional Benchmark Adjustments</t>
  </si>
  <si>
    <t xml:space="preserve">    Non Recoverable Fuel, Transportation of electricity by others, FPNE</t>
  </si>
  <si>
    <t xml:space="preserve">    and Recoverable nuclear uprate expenses.</t>
  </si>
  <si>
    <t>COMMISSION ADJUSTMENTS</t>
  </si>
  <si>
    <t>ADJUSTED BENCHMARK</t>
  </si>
  <si>
    <t>FO ADJUSTMENT - HISTORICAL MUSEUM</t>
  </si>
  <si>
    <t>FO ADJUSTMENT - AVIATION COSTS</t>
  </si>
  <si>
    <t>FO ADJUSTMENT - BAD DEBT EXPENSE</t>
  </si>
  <si>
    <t>FO ADJUSTMENT - DOE SETTLEMENT</t>
  </si>
  <si>
    <t>FO ADJUSTMENT - EXECUTIVE COMPENSATION</t>
  </si>
  <si>
    <t xml:space="preserve">FO ADJUSTMENT - AFFILIATED COMPANY TRANSACTION                 </t>
  </si>
  <si>
    <t xml:space="preserve">FO ADJUSTMENT - RATE CASE EXPENSE                 </t>
  </si>
  <si>
    <t>Adjustments</t>
  </si>
  <si>
    <t>Ref</t>
  </si>
  <si>
    <t>Juris</t>
  </si>
  <si>
    <t>Per Book</t>
  </si>
  <si>
    <t>Factor</t>
  </si>
  <si>
    <t>BM Adj.</t>
  </si>
  <si>
    <t>Comment</t>
  </si>
  <si>
    <t>Transmission Costs</t>
  </si>
  <si>
    <t xml:space="preserve">   Total</t>
  </si>
  <si>
    <t xml:space="preserve"> </t>
  </si>
  <si>
    <t>Nuclear EOL and Last Core</t>
  </si>
  <si>
    <t>Historical Museum</t>
  </si>
  <si>
    <t>Nuclear Fuel Expense</t>
  </si>
  <si>
    <t>Aviation Costs</t>
  </si>
  <si>
    <t>Transmission</t>
  </si>
  <si>
    <t xml:space="preserve">Administrative and General </t>
  </si>
  <si>
    <t>Customer Accounts</t>
  </si>
  <si>
    <t>Source</t>
  </si>
  <si>
    <t>KO-16</t>
  </si>
  <si>
    <t>Order</t>
  </si>
  <si>
    <t>Bad Debt Expense</t>
  </si>
  <si>
    <t>FAC Bad Debt Expense</t>
  </si>
  <si>
    <t>Unfilled Positions</t>
  </si>
  <si>
    <t>Salaries and Employee Benefits</t>
  </si>
  <si>
    <t>DOE Settlement</t>
  </si>
  <si>
    <t>Affiliated Co. Transactions</t>
  </si>
  <si>
    <t>Storm Damage Accrual</t>
  </si>
  <si>
    <t>Rate Case Expense</t>
  </si>
  <si>
    <t>Company Adjustment</t>
  </si>
  <si>
    <t>ECCR Payroll In Base Rates</t>
  </si>
  <si>
    <t>Hedging Costs in FAC</t>
  </si>
  <si>
    <t>Total Adjustments</t>
  </si>
  <si>
    <t>Nuclear</t>
  </si>
  <si>
    <t>Functional O&amp;M</t>
  </si>
  <si>
    <t>Adjustments From Rate Case Order</t>
  </si>
  <si>
    <t>STEAM PRODUCTION</t>
  </si>
  <si>
    <t>NUCLEAR PRODUCTION</t>
  </si>
  <si>
    <t>ADMINISTRATIVE &amp; GENERAL</t>
  </si>
  <si>
    <t>TOTAL</t>
  </si>
  <si>
    <t>2010 Rate Case Filed Benchmark O&amp;M</t>
  </si>
  <si>
    <t>Adjusted 2010 Rate Case Benchmark O&amp;M</t>
  </si>
  <si>
    <t>Average Annual Customers</t>
  </si>
  <si>
    <t>% Growth</t>
  </si>
  <si>
    <t>Customer Index</t>
  </si>
  <si>
    <t>Consumer Price Index (82-84)</t>
  </si>
  <si>
    <t>CPI Index</t>
  </si>
  <si>
    <t>Combined Factor</t>
  </si>
  <si>
    <t>Combined Cust / CPI Index</t>
  </si>
  <si>
    <t>No per book bench mark adjustment required.</t>
  </si>
  <si>
    <t>This adjustment affects non recoverable</t>
  </si>
  <si>
    <t>benchmark O&amp;M</t>
  </si>
  <si>
    <t>Commission adjustment reverses proposed</t>
  </si>
  <si>
    <t>company adjustment which was not included</t>
  </si>
  <si>
    <t>in filed benchmark O&amp;M.</t>
  </si>
  <si>
    <t>fuel expense and was not included in filed</t>
  </si>
  <si>
    <t>Company adjustment for rate case expense</t>
  </si>
  <si>
    <t>was not included in filed benchmark O&amp;M.</t>
  </si>
  <si>
    <t>Final order lowered rate case expense.</t>
  </si>
  <si>
    <t>Adjustment is to non recoverable fuel expense.</t>
  </si>
  <si>
    <t xml:space="preserve">Final order reversed proposed company </t>
  </si>
  <si>
    <t>adjustments to move expenses from base</t>
  </si>
  <si>
    <t>to clause. These expenses were included</t>
  </si>
  <si>
    <t>Compound Multiplier</t>
  </si>
  <si>
    <t>Avg Compound Growth %</t>
  </si>
  <si>
    <t>FERC 
ACCOUNT</t>
  </si>
  <si>
    <t>INC106000 - STEAM POWER - MISCELLANEOUS STEAM POWER EXP</t>
  </si>
  <si>
    <t>500</t>
  </si>
  <si>
    <t>501</t>
  </si>
  <si>
    <t>502</t>
  </si>
  <si>
    <t>505</t>
  </si>
  <si>
    <t>506</t>
  </si>
  <si>
    <t>FERC Acct</t>
  </si>
  <si>
    <t>No explanation required since amounts are</t>
  </si>
  <si>
    <t>adjusted from base year and not in forecast</t>
  </si>
  <si>
    <t>test year.</t>
  </si>
  <si>
    <t>No explanation required. Base year is adjusted</t>
  </si>
  <si>
    <t>to reflect appropriate amount. Test year is as</t>
  </si>
  <si>
    <t>projected.</t>
  </si>
  <si>
    <t>No per book bench mark explanation required.</t>
  </si>
  <si>
    <t xml:space="preserve">Base year is adjusted to reflect approved </t>
  </si>
  <si>
    <t>amount. No adjustment necessary for forecast</t>
  </si>
  <si>
    <t>test year, since unfilled positions not in forecast</t>
  </si>
  <si>
    <t>adjusted from base year and forecast test year.</t>
  </si>
  <si>
    <t>Any difference in O&amp;M due to budget differences.</t>
  </si>
  <si>
    <t>budget. Could adjust functional O&amp;M based on</t>
  </si>
  <si>
    <t>functional payroll percentages provided to rates.</t>
  </si>
  <si>
    <t>FO ADJUSTMENT - UNFILLED POSITIONS**</t>
  </si>
  <si>
    <t xml:space="preserve">**Unfilled Positions final order adjustment has been allocated to functions based </t>
  </si>
  <si>
    <t xml:space="preserve">   on test year functional payroll allocation </t>
  </si>
  <si>
    <t>3 (1+2)</t>
  </si>
  <si>
    <t>5 (3+4)</t>
  </si>
  <si>
    <t>COMPANY 
PER BOOK</t>
  </si>
  <si>
    <t>INC100000 - STEAM POWER - OPERATION SUPERVISION &amp; ENGINEERING</t>
  </si>
  <si>
    <t>INC106000 - STEAM POWER - MISCELLANEOUS STEAM POWER EXPENSES</t>
  </si>
  <si>
    <t>INC110000 - STEAM POWER - MAINTENANCE SUPERVISION &amp; ENGINEERING</t>
  </si>
  <si>
    <t>INC113100 - STEAM POWER - MAINTENANCE OF ELECTRIC PLANT - ECRC</t>
  </si>
  <si>
    <t>INC114000 - STEAM POWER - MAINTENANCE OF MISCELLANEOUS STEAM PLT</t>
  </si>
  <si>
    <t>INC117000 - NUCLEAR POWER - OPERATION SUPERVISION &amp; ENGINEERING</t>
  </si>
  <si>
    <t>INC118210 - NUCLEAR POWER - NUCL FUEL EXP - NON RECOV FUEL EXP</t>
  </si>
  <si>
    <t>INC124000 - NUCLEAR POWER - MISCELLANEOUS NUCLEAR POWER EXPENSES</t>
  </si>
  <si>
    <t>INC124500 - NUCLEAR POWER - COSTS RECOVERED IN NUC COST REC (NCRC)</t>
  </si>
  <si>
    <t>INC128000 - NUCLEAR POWER - MAINTENANCE SUPERVISION &amp; ENGINEERING</t>
  </si>
  <si>
    <t>INC132000 - NUCLEAR POWER - MAINTENANCE OF MISC NUCLEAR PLANT</t>
  </si>
  <si>
    <t>INC146000 - OTHER POWER - OPERATION SUPERVISION &amp; ENGINEERING</t>
  </si>
  <si>
    <t>INC146100 - OTHER POWER - OPERATION SUPERVISION &amp; ENGINEERING - ECRC</t>
  </si>
  <si>
    <t>INC147200 - OTHER POWER - FUEL -NON RECOV ANNUAL EMISSIONS FEE</t>
  </si>
  <si>
    <t>INC149000 - OTHER POWER - MISC OTHER POWER GENERATION EXPENSES</t>
  </si>
  <si>
    <t>INC151000 - OTHER POWER - MAINTENANCE SUPERVISION &amp; ENGINEERING</t>
  </si>
  <si>
    <t>INC151100 - OTHER POWER - MAINTENANCE SUPERVISION &amp; ENGINEERING - ECRC</t>
  </si>
  <si>
    <t>INC153000 - OTHER POWER - MAINTENANCE GENERATING &amp; ELECTRIC PLANT</t>
  </si>
  <si>
    <t>INC154000 - OTHER POWER - MAINTENANCE MISC OTHER POWER GENERATION</t>
  </si>
  <si>
    <t>INC155110 - OTHER POWER - PURCHASED POWER - INTERCHANGE RECOV</t>
  </si>
  <si>
    <t>INC156000 - OTHER POWER - SYSTEM CONTROL AND LOAD DISPATCHING</t>
  </si>
  <si>
    <t>INC157900 - OTHER POWER - OTHER EXPENSES - DEFERRED FUEL FPSC</t>
  </si>
  <si>
    <t>INC157980 - OTHER POWER - OTHER EXPENSES - DEFERRED FUEL FERC</t>
  </si>
  <si>
    <t>INC265000 - TRANS EXP - TRANSMISSION OF ELECTRICITY BY OTHERS</t>
  </si>
  <si>
    <t>INC385000 - DIST EXP - STREET LIGHTING AND SIGNAL SYSTEM EXPENSES</t>
  </si>
  <si>
    <t>INC390000 - DIST EXP - MAINTENANCE SUPERVISION AND ENGINEERING</t>
  </si>
  <si>
    <t>INC390010 - DIST EXP - MAINT-LMS-LOAD CONTROL RECOVERABLE -ECCR</t>
  </si>
  <si>
    <t>INC396000 - DIST EXP - MAINT OF STREET LIGHTING &amp; SIGNAL SYSTEMS</t>
  </si>
  <si>
    <t>INC398000 - DIST EXP - MAINTENANCE OF MISC DISTRIBUTION PLANT</t>
  </si>
  <si>
    <t>INC403000 - CUST ACCT EXP - CUSTOMER RECORDS AND COLLECTION EXP</t>
  </si>
  <si>
    <t>INC407100 - CUST SERV &amp; INFO - SUPERVISION - ECCR RECOVERABLE</t>
  </si>
  <si>
    <t>INC408100 - CUST SERV &amp; INFO - CUST ASSISTANCE EXP - ECCR RECOV</t>
  </si>
  <si>
    <t>INC410100 - CUST SERV &amp; INFO - MISC CUST SERV &amp; INFO EXP - ECCR</t>
  </si>
  <si>
    <t>INC522000 - A&amp;G EXP - ADMINISTRATIVE EXPENSES TRANSFERRED CR.</t>
  </si>
  <si>
    <t>INC529100 - A&amp;G EXP - DUPLICATE CHARGES CR - ECCR COSTS DEFERRED</t>
  </si>
  <si>
    <t>Grand Total</t>
  </si>
  <si>
    <t>Growth</t>
  </si>
  <si>
    <t>Index Changes</t>
  </si>
  <si>
    <t>ECRC Payroll In Base Rates</t>
  </si>
  <si>
    <t>2013 Test Year Benchmark O&amp;M</t>
  </si>
  <si>
    <t xml:space="preserve">2013 Test Year O&amp;M Benchmark Calculation With Variance </t>
  </si>
  <si>
    <t>2010 - 2013 Growth %</t>
  </si>
  <si>
    <t>2013 BENCHMARK O&amp;M</t>
  </si>
  <si>
    <t>COS_ID_DESC</t>
  </si>
  <si>
    <t>MFR_ACCT</t>
  </si>
  <si>
    <t>AMOUNT</t>
  </si>
  <si>
    <t>INC118110 - NUCLEAR POWER - NUCLEAR FUEL EXPENSE</t>
  </si>
  <si>
    <t>INC118151 - NUCLEAR POWER - NUCL FUEL EXP - FUEL DISPOSAL COSTS</t>
  </si>
  <si>
    <t>INC118180 - NUCLEAR FUEL - PLANT RECOVERABLE ADJUSTMENT</t>
  </si>
  <si>
    <t>INC124502 - NUCLEAR POWER - COSTS NOT RECOVERED IN NUC COST REC</t>
  </si>
  <si>
    <t>INC149111 - OTHER POWER - WC H20 RECLAMATION</t>
  </si>
  <si>
    <t>INC150000 - OTHER POWER - RENTS - GAS TURBINES ENGINE SERVCING</t>
  </si>
  <si>
    <t>INC404151 - CUST ACCT EXP - UNCOLL ACCTS - STORM SECURITIZATION</t>
  </si>
  <si>
    <t>INC520998 - A&amp;G EXP - ADMINISTRATIVE &amp; GENERAL SALARIES - FPLNE</t>
  </si>
  <si>
    <t>INC521005 - A&amp;G EXP - OFFICE SUPPLIES AND EXPENSES- FPLNE NED</t>
  </si>
  <si>
    <t>INC523500 - OUTSIDE SERVICES LEGAL - CAPACITY CLAUSE</t>
  </si>
  <si>
    <t>INC525101 - A&amp;G EXP - INJURIES &amp; DAMAGES - NUC</t>
  </si>
  <si>
    <t>INC525110 - A&amp;G EXP - INJURIES &amp; DAMAGES - ECCR</t>
  </si>
  <si>
    <t>INC525120 - A&amp;G EXP - INJURIES &amp; DAMAGES -  ECRC</t>
  </si>
  <si>
    <t>INC526130 - A&amp;G EXP - EMP PENSIONS &amp; BENEFITS - CAPACITY</t>
  </si>
  <si>
    <t>INC526131 - A&amp;G EXP - EMP PENSIONS &amp; BENEFITS - NUC</t>
  </si>
  <si>
    <t>INC526650 - A&amp;G EXP - EMP PENSIONS &amp; BENEFITS - DENTAL EXPENSES</t>
  </si>
  <si>
    <t>INC528100 - A&amp;G EXP - REGULATORY COMMISSION EXPENSE - FERC FEE</t>
  </si>
  <si>
    <t>INC535100 - A&amp;G EXP - MAINT GENERAL PLANT - ECRC</t>
  </si>
  <si>
    <t>CHECK</t>
  </si>
  <si>
    <t>Per 2013 BM Detail (tab 2 within workbook)</t>
  </si>
  <si>
    <t>2013 Test Year O&amp;M</t>
  </si>
  <si>
    <t>2013 Test Year Variance</t>
  </si>
  <si>
    <t>Misc A&amp;G Commission Adjustments</t>
  </si>
  <si>
    <t>Financial Planning Services</t>
  </si>
  <si>
    <t>Executive Compensation</t>
  </si>
  <si>
    <t>INC520010</t>
  </si>
  <si>
    <t>INC521000</t>
  </si>
  <si>
    <t>Aviation Expenses</t>
  </si>
  <si>
    <t>Economic Development</t>
  </si>
  <si>
    <t>INC530000</t>
  </si>
  <si>
    <t>Industry Association Dues</t>
  </si>
  <si>
    <t>Interest On Tax Deficiencies</t>
  </si>
  <si>
    <t>INC524100</t>
  </si>
  <si>
    <t xml:space="preserve">   Total A&amp;G Adjustments</t>
  </si>
  <si>
    <t>EPU Nuclear Uprates Property Insurance</t>
  </si>
  <si>
    <t>Additional Adjustment</t>
  </si>
  <si>
    <t>agrees to FO Adjustments tab</t>
  </si>
  <si>
    <t xml:space="preserve">  A.  Non Recoverable Fuel &amp; Transportation of Electricity by Others</t>
  </si>
  <si>
    <t>B.  Afiliates Payroll Loadings:  To exclude from operating expenses payroll loadings associated with Service Fees and nuclear direct charges in order to properly reflect the amounts charged to affiliates.</t>
  </si>
  <si>
    <t>FLORIDA POWER &amp; LIGHT COMPANY AND SUBSIDIARIES</t>
  </si>
  <si>
    <t>2013 RECALCULATED JURISDICTIONAL NET OPERATING INCOME (NOI)</t>
  </si>
  <si>
    <t>Revised MFR C-1 Backup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</si>
  <si>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</si>
  <si>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</si>
  <si>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</si>
  <si>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</si>
  <si>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</si>
  <si>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</si>
  <si>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</si>
  <si>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</si>
  <si>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</si>
  <si>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</si>
  <si>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</si>
  <si>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</si>
  <si>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</si>
  <si>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</si>
  <si>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</si>
  <si>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PENSION</t>
  </si>
  <si>
    <t>CAPE</t>
  </si>
  <si>
    <t>NON EXEC</t>
  </si>
  <si>
    <t>AMI PLANT</t>
  </si>
  <si>
    <t>RETAIL</t>
  </si>
  <si>
    <t>EXEC COMP</t>
  </si>
  <si>
    <t xml:space="preserve">CAPITAL </t>
  </si>
  <si>
    <t>SEPARATION</t>
  </si>
  <si>
    <t>FT. LAUDERDALE</t>
  </si>
  <si>
    <t xml:space="preserve">COST OF </t>
  </si>
  <si>
    <t xml:space="preserve"> EXPENSE</t>
  </si>
  <si>
    <t xml:space="preserve"> SEPARATION </t>
  </si>
  <si>
    <t>AMORTIZATION</t>
  </si>
  <si>
    <t xml:space="preserve"> CANAVERAL</t>
  </si>
  <si>
    <t xml:space="preserve"> COMP</t>
  </si>
  <si>
    <t xml:space="preserve"> AND DOE </t>
  </si>
  <si>
    <t xml:space="preserve"> UNBILLED</t>
  </si>
  <si>
    <t>AFFILIATE</t>
  </si>
  <si>
    <t xml:space="preserve">RECOVERY </t>
  </si>
  <si>
    <t>FACTOR ADJ</t>
  </si>
  <si>
    <t>COMBINED CYCLE</t>
  </si>
  <si>
    <t>TEST YEAR</t>
  </si>
  <si>
    <t>INTEREST</t>
  </si>
  <si>
    <t>CUST</t>
  </si>
  <si>
    <t>LONG</t>
  </si>
  <si>
    <t>REMOVAL AMI</t>
  </si>
  <si>
    <t>CREDIT</t>
  </si>
  <si>
    <t>FACTOR ADJ.</t>
  </si>
  <si>
    <t>OF GAINS</t>
  </si>
  <si>
    <t>ADJ</t>
  </si>
  <si>
    <t>COMM. ADJ</t>
  </si>
  <si>
    <t>CREDITS ADJ</t>
  </si>
  <si>
    <t>REVENUES ADJ</t>
  </si>
  <si>
    <t xml:space="preserve"> ALLOC. ADJ</t>
  </si>
  <si>
    <t>SCHEDULES ADJ</t>
  </si>
  <si>
    <t>SEMINOLE CREDITS</t>
  </si>
  <si>
    <t>FORECAST ADJ</t>
  </si>
  <si>
    <t>NOI ADJUSTMENTS</t>
  </si>
  <si>
    <t>SYNC. ADJ</t>
  </si>
  <si>
    <t>DEP</t>
  </si>
  <si>
    <t>TERM DBT</t>
  </si>
  <si>
    <t>ADJUSTMENTS</t>
  </si>
  <si>
    <t>Line No.</t>
  </si>
  <si>
    <t>JURISDICTIONAL NOI</t>
  </si>
  <si>
    <t>($000)</t>
  </si>
  <si>
    <t>(EXCL CAPE CANAVERAL)</t>
  </si>
  <si>
    <t>REVENUE FROM SALES</t>
  </si>
  <si>
    <t>OTHER OPERATING REVENUES</t>
  </si>
  <si>
    <t>TOTAL OPERATING REVENUES</t>
  </si>
  <si>
    <t>OPERATION AND MAINTENANCE EXPENSE</t>
  </si>
  <si>
    <t>OTHER</t>
  </si>
  <si>
    <t>FUEL &amp; INTERCHANGE</t>
  </si>
  <si>
    <t>PURCHASED POWER</t>
  </si>
  <si>
    <t>DEFERRED COSTS</t>
  </si>
  <si>
    <t xml:space="preserve">   SUBTOTAL O&amp;M EXPENSE</t>
  </si>
  <si>
    <t>DEPRECIATION &amp; AMORTIZATION</t>
  </si>
  <si>
    <t>TAXES OTHER THAN INCOME TAXES</t>
  </si>
  <si>
    <t>INCOME TAXES</t>
  </si>
  <si>
    <t>(GAIN)/LOSS ON DISPOSAL OF PLANT</t>
  </si>
  <si>
    <t>TOTAL OPERATING EXPENSES</t>
  </si>
  <si>
    <t>NET OPERATING INCOME</t>
  </si>
  <si>
    <t>REVENUE REQUIREMENTS</t>
  </si>
  <si>
    <t>REVENUE EXPANSION FACTOR</t>
  </si>
  <si>
    <t>KO-16 Reference</t>
  </si>
  <si>
    <t>Item 1</t>
  </si>
  <si>
    <t>Item 2</t>
  </si>
  <si>
    <t>Item 4</t>
  </si>
  <si>
    <t>Item 5</t>
  </si>
  <si>
    <t>Relates to the Step</t>
  </si>
  <si>
    <t>Item 15</t>
  </si>
  <si>
    <t>Item 7</t>
  </si>
  <si>
    <t>Item 9</t>
  </si>
  <si>
    <t>Item 14</t>
  </si>
  <si>
    <t>Item 17</t>
  </si>
  <si>
    <t>Item 10</t>
  </si>
  <si>
    <t>Item 11</t>
  </si>
  <si>
    <t xml:space="preserve">NOTES: </t>
  </si>
  <si>
    <t>Increase</t>
  </si>
  <si>
    <t>1.  Totals may not foot due to rounding</t>
  </si>
  <si>
    <t>Item 18</t>
  </si>
  <si>
    <t>2.  Revenue requirement for interest synchronization adjustments for rate base adjustments are included in the rate base revenue requirement amounts.</t>
  </si>
  <si>
    <t>Tab Number
Backup Book</t>
  </si>
  <si>
    <t xml:space="preserve">COMPANY </t>
  </si>
  <si>
    <t xml:space="preserve">JURISDICTIONAL </t>
  </si>
  <si>
    <t>COLUMN 
ABOVE</t>
  </si>
  <si>
    <t>ADJUSTMENT DETAIL</t>
  </si>
  <si>
    <t>REF</t>
  </si>
  <si>
    <t>PER BOOKS</t>
  </si>
  <si>
    <t>FACTOR</t>
  </si>
  <si>
    <t>UTILITY</t>
  </si>
  <si>
    <t>COST OF REMOVAL AMI - DEPR EXP</t>
  </si>
  <si>
    <t>PENSION EXPENSE CREDIT - OTHER O&amp;M</t>
  </si>
  <si>
    <t>SEPARATION FACTOR</t>
  </si>
  <si>
    <t>N/A</t>
  </si>
  <si>
    <t>SEPARATION FACTOR 2</t>
  </si>
  <si>
    <t>SEPARATION FACTOR TOTAL</t>
  </si>
  <si>
    <t>AMORTIZATION OF GAINS</t>
  </si>
  <si>
    <t>CAPE CANAVERAL DEPRECIATION EXP ADJ</t>
  </si>
  <si>
    <t>CAPE CANAVERAL TAXES OTHER THAN TAXES ADJ</t>
  </si>
  <si>
    <t>NON EXECUTIVE COMPENSATION OMMISSION ADJ</t>
  </si>
  <si>
    <t>AMI DEPRECIATION EXPENSE (ADJ DUE TO DOE CREDITS)</t>
  </si>
  <si>
    <t>RETAIL UNBILLED REVENUES CORRECTION</t>
  </si>
  <si>
    <t>9, p3</t>
  </si>
  <si>
    <t>EXEC COMPENSATION - AFFILLIATE ALLOCATION ADJ.</t>
  </si>
  <si>
    <t>CAPITAL RECOVERY SCHEDULES ADJ TO ACCUM DEPR.</t>
  </si>
  <si>
    <t>SEPARATION FACTOR ADJUSTMENT- SEMINOLE CREDITS</t>
  </si>
  <si>
    <t>FT. LAUDERDALE CC DEPR. EXP ADJ</t>
  </si>
  <si>
    <r>
      <rPr>
        <b/>
        <sz val="9"/>
        <rFont val="Arial"/>
        <family val="2"/>
      </rPr>
      <t>E,</t>
    </r>
    <r>
      <rPr>
        <sz val="9"/>
        <rFont val="Arial"/>
        <family val="2"/>
      </rPr>
      <t xml:space="preserve"> These pieces relate to the Canaveral Step Increase, </t>
    </r>
    <r>
      <rPr>
        <b/>
        <u val="single"/>
        <sz val="9"/>
        <rFont val="Arial"/>
        <family val="2"/>
      </rPr>
      <t xml:space="preserve">NOT </t>
    </r>
    <r>
      <rPr>
        <sz val="9"/>
        <rFont val="Arial"/>
        <family val="2"/>
      </rPr>
      <t>to the 2013 Test Year</t>
    </r>
  </si>
  <si>
    <t>INC526100</t>
  </si>
  <si>
    <t>Separation Factor Adjustment - Other O&amp;M</t>
  </si>
  <si>
    <t>Other O&amp;M and not benchmark Per Book O&amp;M.</t>
  </si>
  <si>
    <t>Administrative and General - Pension Exp. Credit</t>
  </si>
  <si>
    <t xml:space="preserve">2013 TY as such Pension Expense in A&amp;G was </t>
  </si>
  <si>
    <t>Various</t>
  </si>
  <si>
    <t xml:space="preserve">Pension Expense Credit </t>
  </si>
  <si>
    <t>Separation Factor Adjustment</t>
  </si>
  <si>
    <t xml:space="preserve">This adjustment affected jurisdictional </t>
  </si>
  <si>
    <t>Non Executive Compensation Ommission Adj.</t>
  </si>
  <si>
    <t>Administrative and General - Salaries</t>
  </si>
  <si>
    <t xml:space="preserve">Pension Expense Credit was inadvertently understated in the </t>
  </si>
  <si>
    <t xml:space="preserve">FPL inadvertently omitted the non-executive </t>
  </si>
  <si>
    <t xml:space="preserve">performance share amount from the </t>
  </si>
  <si>
    <t>Executive Compensation - Affilliate Alloc Adj.</t>
  </si>
  <si>
    <t xml:space="preserve">While responding to the Interrogatory associated </t>
  </si>
  <si>
    <t xml:space="preserve">with the Non Executive Compensation Ommission, </t>
  </si>
  <si>
    <t xml:space="preserve">FPL noted the files used to prepare the adjustment </t>
  </si>
  <si>
    <t xml:space="preserve">were based on preliminary affiliate allocation rates.       </t>
  </si>
  <si>
    <t>Seminole Credits Separation Factor Adj.</t>
  </si>
  <si>
    <t>Seminole Coop. (Wholesale Customer) network credits were assigned</t>
  </si>
  <si>
    <t>100% FERC factor when they should of received an 89.47%</t>
  </si>
  <si>
    <t xml:space="preserve">separation factor.  This KO-16 adjustment affected jurisdictional </t>
  </si>
  <si>
    <t>2013 Rate Case Filed Benchmark O&amp;M</t>
  </si>
  <si>
    <t>agrees to 2013 BM Detail</t>
  </si>
  <si>
    <t>Adjusted 2013 Rate Case Benchmark O&amp;M</t>
  </si>
  <si>
    <t>Note: CPI is seasonally adjusted</t>
  </si>
  <si>
    <t xml:space="preserve">Commission adjustment, which totaled -$742,191. </t>
  </si>
  <si>
    <t>overstated by $2,946,638.</t>
  </si>
  <si>
    <t xml:space="preserve">With the final affiliate allocation rates the commission </t>
  </si>
  <si>
    <t>adjustment increased by $964,129.</t>
  </si>
  <si>
    <t>RAF: Detailed COS ID Income Statement</t>
  </si>
  <si>
    <t>Dec - 2018</t>
  </si>
  <si>
    <t>1: Annual</t>
  </si>
  <si>
    <t>TOTAL O&amp;M EXPENSE</t>
  </si>
  <si>
    <t>STEAM POWER GENERATION</t>
  </si>
  <si>
    <t>INC100000: INC100000: STEAM POWER - OPERATION SUPERVISION &amp; ENGINEERING</t>
  </si>
  <si>
    <t>INC101110: INC101110: STEAM POWER - FUEL - OIL, GAS &amp; COAL</t>
  </si>
  <si>
    <t>INC101210: INC101210: STEAM POWER - FUEL - NON RECV EXP</t>
  </si>
  <si>
    <t>INC102000: INC102000: STEAM POWER - STEAM EXPENSES</t>
  </si>
  <si>
    <t>INC105000: INC105000: STEAM POWER - ELECTRIC EXPENSES</t>
  </si>
  <si>
    <t>INC106000: INC106000: STEAM POWER - MISCELLANEOUS STEAM POWER EXPENSES</t>
  </si>
  <si>
    <t>INC106100: INC106100: STEAM POWER - MISC STEAM POWER EXPENSES- ECRC -</t>
  </si>
  <si>
    <t>INC106310: INC106310: STEAM POWER - MISC - ADDITIONAL SECURITY</t>
  </si>
  <si>
    <t>INC107000: INC107000: STEAM POWER - RENTS</t>
  </si>
  <si>
    <t>INC110000: INC110000: STEAM POWER - MAINTENANCE SUPERVISION &amp; ENGINEERING</t>
  </si>
  <si>
    <t>INC111000: INC111000: STEAM POWER - MAINTENANCE OF STRUCTURES</t>
  </si>
  <si>
    <t>INC111100: INC111100: STEAM POWER - MAINT OF STRUCTURES - ECRC -</t>
  </si>
  <si>
    <t>INC112000: INC112000: STEAM POWER - MAINTENANCE OF BOILER PLANT</t>
  </si>
  <si>
    <t>INC112100: INC112100: STEAM POWER - MAINT OF BOILER PLANT - ECRC -</t>
  </si>
  <si>
    <t>INC113000: INC113000: STEAM POWER - MAINTENANCE OF ELECTRIC PLANT</t>
  </si>
  <si>
    <t>INC113100: INC113100: STEAM POWER - MAINTENANCE OF ELECTRIC PLANT - ECRC</t>
  </si>
  <si>
    <t>INC114000: INC114000: STEAM POWER - MAINTENANCE OF MISCELLANEOUS STEAM PLT</t>
  </si>
  <si>
    <t>INC114100: INC114100: STEAM POWER - MAINT OF MISC STEAM PLT - ECRC -</t>
  </si>
  <si>
    <t>NUCLEAR POWER GENERATION</t>
  </si>
  <si>
    <t>INC117000: INC117000: NUCLEAR POWER - OPERATION SUPERVISION &amp; ENGINEERING</t>
  </si>
  <si>
    <t>INC118110: INC118110: NUCLEAR POWER - NUCLEAR FUEL EXPENSE</t>
  </si>
  <si>
    <t>INC118151: INC118151: NUCLEAR POWER - NUCL FUEL EXP - FUEL DISPOSAL COSTS</t>
  </si>
  <si>
    <t>INC118160: INC118160: NUCLEAR POWER - MISC - ADDITIONAL SECURITY</t>
  </si>
  <si>
    <t>INC118180: INC118180: NUCLEAR FUEL - PLANT RECOVERABLE ADJUSTMENT</t>
  </si>
  <si>
    <t>INC118210: INC118210: NUCLEAR POWER - NUCL FUEL EXP - NON RECOV FUEL EXP</t>
  </si>
  <si>
    <t>INC119000: INC119000: NUCLEAR POWER - COOLANTS AND WATER</t>
  </si>
  <si>
    <t>INC120000: INC120000: NUCLEAR POWER - STEAM EXPENSES</t>
  </si>
  <si>
    <t>INC123000: INC123000: NUCLEAR POWER - ELECTRIC EXPENSES</t>
  </si>
  <si>
    <t>INC124000: INC124000: NUCLEAR POWER - MISCELLANEOUS NUCLEAR POWER EXPENSES</t>
  </si>
  <si>
    <t>INC124100: INC124100: NUCLEAR POWER - MISC NUCLEAR POWER EXP - ECRC -</t>
  </si>
  <si>
    <t>INC124500: INC124500: NUCLEAR POWER - COSTS RECOVERED IN NUC COST REC (NCRC)</t>
  </si>
  <si>
    <t>INC124502: INC124502: NUCLEAR POWER - COSTS NOT RECOVERED IN NUC COST REC</t>
  </si>
  <si>
    <t>INC125000: INC125000: NUCLEAR POWER - RENTS</t>
  </si>
  <si>
    <t>INC128000: INC128000: NUCLEAR POWER - MAINTENANCE SUPERVISION &amp; ENGINEERING</t>
  </si>
  <si>
    <t>INC129000: INC129000: NUCLEAR POWER - MAINTENANCE OF STRUCTURES</t>
  </si>
  <si>
    <t>INC129100: INC129100: NUCLEAR POWER - MAINT OF STRUCTURES - ECRC -</t>
  </si>
  <si>
    <t>INC129900: INC129900: NUCLEAR POWER - MAINT OF STRUCTURES - CAPACITY</t>
  </si>
  <si>
    <t>INC130000: INC130000: NUCLEAR POWER - MAINTENANCE OF REACTOR PLANT</t>
  </si>
  <si>
    <t>INC131000: INC131000: NUCLEAR POWER - MAINTENANCE OF ELECTRIC PLANT</t>
  </si>
  <si>
    <t>INC131005: INC131005: NUCLEAR POWER - MAINT OF STRUCTURES - CAPACITY</t>
  </si>
  <si>
    <t>INC132000: INC132000: NUCLEAR POWER - MAINTENANCE OF MISC NUCLEAR PLANT</t>
  </si>
  <si>
    <t>INC132100: INC132100: NUCLEAR POWER - MAINT OF MISC NUC PLT - ECRC -</t>
  </si>
  <si>
    <t>OTHER POWER GENERATION</t>
  </si>
  <si>
    <t>INC146000: INC146000: OTHER POWER - OPERATION SUPERVISION &amp; ENGINEERING</t>
  </si>
  <si>
    <t>INC146100: INC146100: OTHER POWER - OPERATION SUPERVISION &amp; ENGINEERING - ECRC</t>
  </si>
  <si>
    <t>INC147110: INC147110: OTHER POWER - FUEL - OIL, GAS &amp; COAL</t>
  </si>
  <si>
    <t>INC147200: INC147200: OTHER POWER - FUEL -NON RECOV ANNUAL EMISSIONS FEE</t>
  </si>
  <si>
    <t>INC148000: INC148000: OTHER POWER - GENERATION EXPENSES</t>
  </si>
  <si>
    <t>INC149000: INC149000: OTHER POWER - MISC OTHER POWER GENERATION EXPENSES</t>
  </si>
  <si>
    <t>INC149100: INC149100: OTHER POWER - MISC OTHER POWER GEN EXP - ECRC -</t>
  </si>
  <si>
    <t>INC149111: INC149111: OTHER POWER - WC H20 RECLAMATION</t>
  </si>
  <si>
    <t>INC149900: INC149900: OTHER POWER - ADDITIONAL SECURITY</t>
  </si>
  <si>
    <t>INC151000: INC151000: OTHER POWER - MAINTENANCE SUPERVISION &amp; ENGINEERING</t>
  </si>
  <si>
    <t>INC151100: INC151100: OTHER POWER - MAINTENANCE SUPERVISION &amp; ENGINEERING - ECRC</t>
  </si>
  <si>
    <t>INC152000: INC152000: OTHER POWER - MAINTENANCE OF STRUCTURES</t>
  </si>
  <si>
    <t>INC152100: INC152100: OTHER POWER - MAINT OF STRUCTURES - ECRC -</t>
  </si>
  <si>
    <t>INC153000: INC153000: OTHER POWER - MAINTENANCE GENERATING &amp; ELECTRIC PLANT</t>
  </si>
  <si>
    <t>INC153100: INC153100: OTHER POWER - MAINT GEN &amp; ELECT PLT - ECRC -</t>
  </si>
  <si>
    <t>INC154000: INC154000: OTHER POWER - MAINTENANCE MISC OTHER POWER GENERATION</t>
  </si>
  <si>
    <t>INC154100: INC154100: OTHER POWER - MAINT MISC OTH PWR GEN - ECRC -</t>
  </si>
  <si>
    <t>INC155110: INC155110: OTHER POWER - PURCHASED POWER - INTERCHANGE RECOV</t>
  </si>
  <si>
    <t>INC155111: INC155111: OTHER POWER - PURCHASED POWER - SWAPC ECCR</t>
  </si>
  <si>
    <t>INC155112: INC155112: OTHER POWER - PURCHASED POWER - SWAPC ECCR OFFSET</t>
  </si>
  <si>
    <t>INC155410: INC155410: OTHER POWER - UPS CAPACITY CHGS -</t>
  </si>
  <si>
    <t>INC156000: INC156000: OTHER POWER - SYSTEM CONTROL AND LOAD DISPATCHING</t>
  </si>
  <si>
    <t>INC157000: INC157000: OTHER POWER - OTHER EXPENSES</t>
  </si>
  <si>
    <t>INC157900: INC157900: OTHER POWER - OTHER EXPENSES - DEFERRED FUEL FPSC</t>
  </si>
  <si>
    <t>INC157903: OTHER EXPENSES - DEFERRED CAPACITY - CEDAR BAY</t>
  </si>
  <si>
    <t>INC157944: INC157944: OTHER POWER - OTHER EXPENSES - DEFERRED CAPACITY</t>
  </si>
  <si>
    <t>INC157949: INC157949: OTHER POWER - OTHER EXPENSES - DEFERRED - ECRC</t>
  </si>
  <si>
    <t>INC157980: INC157980: OTHER POWER - OTHER EXPENSES - DEFERRED FUEL FERC</t>
  </si>
  <si>
    <t>INC158750: GAS RESERVES - OPERATION SUPERVISION &amp; ENGINEERING</t>
  </si>
  <si>
    <t>INC158751: GAS RESERVES - PRODUCTION MAPS &amp; RECORDS</t>
  </si>
  <si>
    <t>INC158752: GAS RESERVES - GAS WELLS EXPENSES</t>
  </si>
  <si>
    <t>INC158753: GAS RESERVES - FIELD LINES EXPENSES</t>
  </si>
  <si>
    <t>INC158754: GAS RESERVES - FIELD COMPRESSOR STATION EXPENSES</t>
  </si>
  <si>
    <t>INC158755: GAS RESERVES - FIELD COMPRESSOR STATION FUEL &amp; POWER</t>
  </si>
  <si>
    <t>INC158756: GAS RESERVES - FIELD MEASURING &amp; REGULATING STATION EXP</t>
  </si>
  <si>
    <t>INC158758: GAS RESERVES - GAS WELL ROYALTIES</t>
  </si>
  <si>
    <t>INC158759: GAS RESERVES - OTHER EXPENSES</t>
  </si>
  <si>
    <t>INC158760: GAS RESERVES – RENTS</t>
  </si>
  <si>
    <t>INC158761: GAS RESERVES - MAINT SUPERVISION &amp; ENGINEERING</t>
  </si>
  <si>
    <t>INC158763: GAS RESERVES - MAINT OF PRODUCING GAS WELLS</t>
  </si>
  <si>
    <t>INC158769: GAS RESERVES - MAINT OF OTHER EQUIPMENT</t>
  </si>
  <si>
    <t>INC158795: GAS RESERVES - DELAY RENTALS</t>
  </si>
  <si>
    <t>INC158796: GAS RESERVES - NONPRODUCTIVE WELL DRILLING</t>
  </si>
  <si>
    <t>INC158798: GAS RESERVES - OTHER EXPLORATION</t>
  </si>
  <si>
    <t>INC607303: OTHER EXP - DEFERRED EXPENSE - CEDAR BAY BASE</t>
  </si>
  <si>
    <t>TRANSMISSION EXPENSES</t>
  </si>
  <si>
    <t>INC260010: INC260010: TRANS EXP - OPERATION SUPERV &amp; ENGINEERING</t>
  </si>
  <si>
    <t>INC261000: INC261000: TRANS EXP - LOAD DISPATCHING</t>
  </si>
  <si>
    <t>INC262000: INC262000: TRANS EXP - STATION EXPENSES</t>
  </si>
  <si>
    <t>INC263000: INC263000: TRANS EXP - OVERHEAD LINE EXPENSES</t>
  </si>
  <si>
    <t>INC265000: INC265000: TRANS EXP - TRANSMISSION OF ELECTRICITY BY OTHERS</t>
  </si>
  <si>
    <t>INC265120: INC265120: TRANS EXPENSE BY OTHERS FPL SALES -</t>
  </si>
  <si>
    <t>INC265130: INC265130: TRANS EXP - INTERCHANGE RECOVERABLE</t>
  </si>
  <si>
    <t>INC266000: INC266000: TRANS EXP - MISC TRANSMISSION EXPENSES</t>
  </si>
  <si>
    <t>INC266050: INC266050: TRANS EXP - MISC TRANS EXP - SEMINOLE CREDIT</t>
  </si>
  <si>
    <t>INC267000: INC267000: TRANS EXP - RENTS</t>
  </si>
  <si>
    <t>INC268010: INC268010: TRANS EXP - MAINTENANCE SUPERV &amp; ENGINEERING</t>
  </si>
  <si>
    <t>INC269000: INC269000: TRANS EXP - MAINTENANCE OF STRUCTURES</t>
  </si>
  <si>
    <t>INC270000: INC270000: TRANS EXP - MAINTENANCE OF STATION EQUIPMENT</t>
  </si>
  <si>
    <t>INC270020: INC270020: TRANS EXP - MAINT OF STATION EQUIP - ECRC -</t>
  </si>
  <si>
    <t>INC271000: INC271000: TRANS EXP - MAINTENANCE OF OVERHEAD LINES</t>
  </si>
  <si>
    <t>INC272000: INC272000: TRANS EXP - MAINTENANCE OF UNDERGROUND LINES</t>
  </si>
  <si>
    <t>INC273000: INC273000: TRANS EXP - MAINTENANCE OF MISC TRANS PLANT</t>
  </si>
  <si>
    <t>DISTRIBUTION EXPENSES</t>
  </si>
  <si>
    <t>INC380000: INC380000: DIST EXP - OPERATION SUPERVISION AND ENGINEERING</t>
  </si>
  <si>
    <t>INC381000: INC381000: DIST EXP - LOAD DISPATCHING</t>
  </si>
  <si>
    <t>INC382000: INC382000: DIST EXP - SUBSTATION EXPENSES</t>
  </si>
  <si>
    <t>INC383000: INC383000: DIST EXP - OVERHEAD LINE EXPENSES</t>
  </si>
  <si>
    <t>INC384000: INC384000: DIST EXP - UNDERGROUND LINE EXPENSES</t>
  </si>
  <si>
    <t>INC385000: INC385000: DIST EXP - STREET LIGHTING AND SIGNAL SYSTEM EXPENSES</t>
  </si>
  <si>
    <t>INC386000: INC386000: DIST EXP - METER EXPENSES</t>
  </si>
  <si>
    <t>INC387000: INC387000: DIST EXP - CUSTOMER INSTALLATIONS EXPENSES</t>
  </si>
  <si>
    <t>INC387010: INC387010: DIST EXP - LMS-LOAD CONTROL RECOVERABLE -ECCR</t>
  </si>
  <si>
    <t>INC388000: INC388000: DIST EXP - MISCELLANEOUS DISTRIBUTION EXPENSES</t>
  </si>
  <si>
    <t>INC389000: INC389000: DIST EXP - RENTS</t>
  </si>
  <si>
    <t>INC390000: INC390000: DIST EXP - MAINTENANCE SUPERVISION AND ENGINEERING</t>
  </si>
  <si>
    <t>INC390010: INC390010: DIST EXP - MAINT-LMS-LOAD CONTROL RECOVERABLE -ECCR</t>
  </si>
  <si>
    <t>INC391000: INC391000: DIST EXP - MAINTENANCE OF STRUCTURES</t>
  </si>
  <si>
    <t>INC392000: INC392000: DIST EXP - MAINTENANCE OF STATION EQUIPMENT</t>
  </si>
  <si>
    <t>INC392010: INC392010: DIST EXP - MAINT OF STATION EQUIP - ECRC -</t>
  </si>
  <si>
    <t>INC393000: INC393000: DIST EXP - MAINTENANCE OF OVERHEAD LINES</t>
  </si>
  <si>
    <t>INC394000: INC394000: DIST EXP - MAINTENANCE OF UNDERGROUND LINES</t>
  </si>
  <si>
    <t>INC395000: INC395000: DIST EXP - MAINTENANCE OF LINE TRANSFORMERS</t>
  </si>
  <si>
    <t>INC396000: INC396000: DIST EXP - MAINT OF STREET LIGHTING &amp; SIGNAL SYSTEMS</t>
  </si>
  <si>
    <t>INC397000: INC397000: DIST EXP - MAINTENANCE OF METERS</t>
  </si>
  <si>
    <t>INC398000: INC398000: DIST EXP - MAINTENANCE OF MISC DISTRIBUTION PLANT</t>
  </si>
  <si>
    <t>CUSTOMER ACCOUNTS EXPENSES</t>
  </si>
  <si>
    <t>INC401000: INC401000: CUST ACCT EXP - SUPERVISION</t>
  </si>
  <si>
    <t>INC402000: INC402000: CUST ACCT EXP - METER READING EXPENSES</t>
  </si>
  <si>
    <t>INC403000: INC403000: CUST ACCT EXP - CUSTOMER RECORDS AND COLLECTION EXP</t>
  </si>
  <si>
    <t>INC404000: INC404000: CUST ACCT EXP - UNCOLLECTIBLE ACCOUNTS</t>
  </si>
  <si>
    <t>INC404151: INC404151: CUST ACCT EXP - UNCOLL ACCTS - STORM SECURITIZATION</t>
  </si>
  <si>
    <t>CUSTOMER SERVICE &amp; INFO EXPENSE</t>
  </si>
  <si>
    <t>INC407000: INC407000: CUST SERV &amp; INFO - SUPERVISION</t>
  </si>
  <si>
    <t>INC407100: INC407100: CUST SERV &amp; INFO - SUPERVISION - ECCR RECOVERABLE</t>
  </si>
  <si>
    <t>INC408000: INC408000: CUST SERV &amp; INFO - CUST ASSISTANCE EXP</t>
  </si>
  <si>
    <t>INC408100: INC408100: CUST SERV &amp; INFO - CUST ASSISTANCE EXP - ECCR RECOV</t>
  </si>
  <si>
    <t>INC409000: INC409000: CUST SERV &amp; INFO - INFO &amp; INST ADV - GENERAL</t>
  </si>
  <si>
    <t>INC409100: INC409100: CUST SERV &amp; INFO - INFO &amp; INST ADV -ECCR RECOV</t>
  </si>
  <si>
    <t>INC410000: INC410000: CUST SERV &amp; INFO - MISC CUST SERV &amp; INFO EXP</t>
  </si>
  <si>
    <t>INC410100: INC410100: CUST SERV &amp; INFO - MISC CUST SERV &amp; INFO EXP - ECCR</t>
  </si>
  <si>
    <t>DEMONSTRATING &amp; SELLING EXPENSES</t>
  </si>
  <si>
    <t>INC411000: INC411000: SUPERVISION-SALES EXPENSES</t>
  </si>
  <si>
    <t>INC516000: INC516000: MISCELLANEOUS AND SELLING EXPENSES</t>
  </si>
  <si>
    <t>ADMINISTRATIVE &amp; GENERAL EXPENSES</t>
  </si>
  <si>
    <t>INC520010: INC520010: A&amp;G EXP - ADMINISTRATIVE &amp; GENERAL SALARIES</t>
  </si>
  <si>
    <t>INC521000: INC521000: A&amp;G EXP - OFFICE SUPPLIES AND EXPENSES</t>
  </si>
  <si>
    <t>INC521151: INC521151: A&amp;G EXP - ADMINISTRATION FEES - FREC</t>
  </si>
  <si>
    <t>INC522000: INC522000: A&amp;G EXP - ADMINISTRATIVE EXPENSES TRANSFERRED CR.</t>
  </si>
  <si>
    <t>INC522151: INC522151: A&amp;G EXP - EXPENSES TRANSFERRED - FREC</t>
  </si>
  <si>
    <t>INC523000: INC523000: A&amp;G EXP - OUTSIDE SERVICES EMPLOYED</t>
  </si>
  <si>
    <t>INC523900: OUTSIDE SERVICES - GAS RESERVES</t>
  </si>
  <si>
    <t>INC524000: INC524000: A&amp;G EXP - PROPERTY INSURANCE</t>
  </si>
  <si>
    <t>INC524100: INC524100: A&amp;G EXP - PROPERTY INSURANCE - NUCLEAR OUTAGE</t>
  </si>
  <si>
    <t>INC524121: INC524121: A&amp;G EXP - STORM DEFICIENCY RECOVERY</t>
  </si>
  <si>
    <t>INC524900: A&amp;G EXP - PROPERTY INSURANCE - GAS RESERVES</t>
  </si>
  <si>
    <t>INC525000: INC525000: A&amp;G EXP - INJURIES AND DAMAGES</t>
  </si>
  <si>
    <t>INC525100: INC525100: A&amp;G EXP - INJURIES &amp; DAMAGES - CPRC</t>
  </si>
  <si>
    <t>INC525101: INC525101: A&amp;G EXP - INJURIES &amp; DAMAGES - NUC</t>
  </si>
  <si>
    <t>INC525106: INC525106: A&amp;G EXP - INJURIES &amp; DAMAGES - FUEL</t>
  </si>
  <si>
    <t>INC525110: INC525110: A&amp;G EXP - INJURIES &amp; DAMAGES - ECCR</t>
  </si>
  <si>
    <t>INC525120: INC525120: A&amp;G EXP - INJURIES &amp; DAMAGES -  ECRC</t>
  </si>
  <si>
    <t>INC526100: INC526100: A&amp;G EXP - EMP PENSIONS &amp; BENEFITS</t>
  </si>
  <si>
    <t>INC526110: INC526110: A&amp;G EXP - EMP PENSIONS &amp; BENEFITS - FUEL</t>
  </si>
  <si>
    <t>INC526120: INC526120: A&amp;G EXP - EMP PENSIONS &amp; BENEFITS - ECRC</t>
  </si>
  <si>
    <t>INC526130: INC526130: A&amp;G EXP - EMP PENSIONS &amp; BENEFITS - CAPACITY</t>
  </si>
  <si>
    <t>INC526131: INC526131: A&amp;G EXP - EMP PENSIONS &amp; BENEFITS - NUC</t>
  </si>
  <si>
    <t>INC526211: INC526211: A&amp;G EXP - EMP PENSIONS &amp; BENEFITS - ECCR</t>
  </si>
  <si>
    <t>INC526650: INC526650: A&amp;G EXP - EMP PENSIONS &amp; BENEFITS - DENTAL EXPENSES</t>
  </si>
  <si>
    <t>INC528010: INC528010: A&amp;G EXP - REGULATORY COMMISSION EXPENSE - FPSC</t>
  </si>
  <si>
    <t>INC528020: INC528020: A&amp;G EXP - REGULATORY COMMISSION EXPENSE - FERC</t>
  </si>
  <si>
    <t>INC528100: INC528100: A&amp;G EXP - REGULATORY COMMISSION EXPENSE - FERC FEE</t>
  </si>
  <si>
    <t>INC529100: INC529100: A&amp;G EXP - DUPLICATE CHARGES CR - ECCR COSTS DEFERRED</t>
  </si>
  <si>
    <t>INC530000: INC530000: A&amp;G EXP - MISC GENERAL EXPENSES</t>
  </si>
  <si>
    <t>INC530002: A&amp;G EXP - MISC GENERAL EXPENSES - WHOLESALE</t>
  </si>
  <si>
    <t>INC531000: INC531000: A&amp;G EXP - RENTS</t>
  </si>
  <si>
    <t>INC535000: INC535000: A&amp;G EXP - MAINTENANCE OF GENERAL PLANT</t>
  </si>
  <si>
    <t>NOI COMMISSION ADJUSTMENTS</t>
  </si>
  <si>
    <t>NOI_AVIATION: AVIATION - EXPENSES</t>
  </si>
  <si>
    <t>NOI_ECON_DEVELOP: ECONOMIC DEVELOPMENT 5%</t>
  </si>
  <si>
    <t>NOI_EXEC_COMP: EXECUTIVE COMPENSATION</t>
  </si>
  <si>
    <t>NOI_FIN_PLANNING_SERVICES: FINANCIAL  PLANNING SERVICES</t>
  </si>
  <si>
    <t>NOI_IND_ASSOC_DUES: INDUSTRY ASSOCIATION DUES</t>
  </si>
  <si>
    <t>NOI_INTEREST_TAX_DEFICIENCIES: INTEREST TAX DEFICIENCIES</t>
  </si>
  <si>
    <t>AJI520010</t>
  </si>
  <si>
    <t>AJI221200</t>
  </si>
  <si>
    <t>AJI520020</t>
  </si>
  <si>
    <t>AJI230310</t>
  </si>
  <si>
    <t>AJI230205</t>
  </si>
  <si>
    <t>AJI431000</t>
  </si>
  <si>
    <t>2018 Subsequent Year O&amp;M</t>
  </si>
  <si>
    <t xml:space="preserve">2018 Subsequent Year O&amp;M Benchmark Calculation With Variance </t>
  </si>
  <si>
    <t>2018 Subsequent Year Benchmark O&amp;M</t>
  </si>
  <si>
    <t>2013 - 2018 Growth %</t>
  </si>
  <si>
    <t>2018 Subsequent Year Variance</t>
  </si>
  <si>
    <t>2018 BENCHMARK O&amp;M</t>
  </si>
  <si>
    <t>2013-2018</t>
  </si>
  <si>
    <t>2013-2018 cp growth</t>
  </si>
  <si>
    <t>COS ID: RA - MFR Account</t>
  </si>
  <si>
    <t/>
  </si>
  <si>
    <t>500: OPR SUPV &amp; ENG-STEAM POWER GENERATION</t>
  </si>
  <si>
    <t>501: FUEL-STEAM POWER GENERATION</t>
  </si>
  <si>
    <t>502: STEAM EXP-STEAM POWER GENERATION</t>
  </si>
  <si>
    <t>505: ELECTRIC EXPENSES-STEAM POWER GENER</t>
  </si>
  <si>
    <t>506: MISCELL STEAM POW EXP-STEAM POWER GENER</t>
  </si>
  <si>
    <t>507: RENTS-STEAM POWER GENERATION</t>
  </si>
  <si>
    <t>511: MTCE OF STRUCTURE-STEAM POWER GENERATION</t>
  </si>
  <si>
    <t>512: MTCE OF BOILER PLT-STEAM POWER GENER</t>
  </si>
  <si>
    <t>513: MTCE OF ELEC PLANT-STEAM POWER GENER</t>
  </si>
  <si>
    <t>514: MTCE MISC STEAM PLANT-STEAM POWER GENER</t>
  </si>
  <si>
    <t>517: OPER SUPV &amp; ENG-NUCLEAR POWER GENER</t>
  </si>
  <si>
    <t>518: NUCLEAR FUEL EXPENSE-NUCLEAR POWER GENER</t>
  </si>
  <si>
    <t>519: COOLANTS &amp; WATER-NUCLEAR POWER GENER</t>
  </si>
  <si>
    <t>520: STEAM EXPENSES-NUCLEAR POWER GENERATION</t>
  </si>
  <si>
    <t>523: ELECTRIC EXPENSES-NUCLEAR POWER GENER</t>
  </si>
  <si>
    <t>524: MISC NUC PWR EXP-NUCLEAR POWER GENER</t>
  </si>
  <si>
    <t>525: RENTS-NUCLEAR POWER GENERATION</t>
  </si>
  <si>
    <t>528: MTCE SUPV &amp; ENG-NUCLEAR POWER GENER</t>
  </si>
  <si>
    <t>529: MTCE OF STRUCTURE-NUCLEAR POWER GENER</t>
  </si>
  <si>
    <t>530: MTCE OF REACTOR PLT EQP-NUCLEAR POW GEN</t>
  </si>
  <si>
    <t>531: MTCE OF ELECTRIC PLT-NUCL POW GENER</t>
  </si>
  <si>
    <t>532: MTCE MISC NUC PLANT-NUCLEAR POWER GENER</t>
  </si>
  <si>
    <t>546: OP SUPV &amp; ENG-OTHER POWER GENERATION</t>
  </si>
  <si>
    <t>552: MTCE OF STRUCTURES-OTHER POWER GENER</t>
  </si>
  <si>
    <t>547: FUEL-OTHER POWER GENERATION</t>
  </si>
  <si>
    <t>548: GENERATION EXPENSES-OTHER POWER GENERATI</t>
  </si>
  <si>
    <t>549: MISC OTHER PWR GEN EXP-OTHER POWER GENER</t>
  </si>
  <si>
    <t>551: MTCE SUPV &amp; ENG-OTHER POWER GENERATION</t>
  </si>
  <si>
    <t>553: MTCE GEN &amp; ELEC PLT-OTHER POWER GENER</t>
  </si>
  <si>
    <t>554: MTCE MISC OTHER PWR GEN-OTHER POWER GEN</t>
  </si>
  <si>
    <t>555: PURCHASED POWER-OTHER POWER SUPPLY EXP</t>
  </si>
  <si>
    <t>556: SYS CONTR &amp; LOAD DISPATCH-OTH POW SUP</t>
  </si>
  <si>
    <t>557: OTHER EXPENSES-OTHER POWER SUPPLY EXP</t>
  </si>
  <si>
    <t>NA  : Not Applicable</t>
  </si>
  <si>
    <t>560: OPER SUPERV &amp; ENG-TRANSMISSION</t>
  </si>
  <si>
    <t>561: LOAD DISPATCHING-TRANSMISSION</t>
  </si>
  <si>
    <t>562: STATION EXPENSES-TRANSMISSION</t>
  </si>
  <si>
    <t>563: OVERHEAD LINE EXPENSES-TRANSMISSION</t>
  </si>
  <si>
    <t>565: TRANSMISSION OF ELECTRICITY BY OTHERS</t>
  </si>
  <si>
    <t>566: MISCELLANEOUS EXPENSES-TRANSMISSION</t>
  </si>
  <si>
    <t>567: RENTS-TRANSMISSION</t>
  </si>
  <si>
    <t>568: MTCE SUPERVISION AND ENGIN-TRANSMISSION</t>
  </si>
  <si>
    <t>569: MAINTENANCE OF STRUCTURES-TRANSMISSION</t>
  </si>
  <si>
    <t>570: MTCE OF STATION EQUIPMENT-TRANSMISSION</t>
  </si>
  <si>
    <t>571: MTCE OF OVERHEAD LINES-TRANSMISSION</t>
  </si>
  <si>
    <t>572: MTCE OF UNDERGROUND LINES-TRANSMISSION</t>
  </si>
  <si>
    <t>573: MTCE OF MISC PLANT-TRANSMISSION</t>
  </si>
  <si>
    <t>580: OPERATION SUPERV AND ENGIN-DISTRIBUTION</t>
  </si>
  <si>
    <t>581: LOAD DISPATCHING-DISTRIBUTION</t>
  </si>
  <si>
    <t>582: STATION EXPENSES-DISTRIBUTION</t>
  </si>
  <si>
    <t>583: OVERHEAD LINE EXPENSES-DISTRIBUTION</t>
  </si>
  <si>
    <t>584: UNDERGROUND LINE EXPENSES-DISTRIBUTION</t>
  </si>
  <si>
    <t>585: ST LIGHTING AND SIGNAL SYST EXP-DISTRIB</t>
  </si>
  <si>
    <t>586: METER EXPENSES-DISTRIBUTION</t>
  </si>
  <si>
    <t>587: CUSTOMER INSTALLATIONS EXP-DISTRIBUTION</t>
  </si>
  <si>
    <t>588: MISCELLANEOUS EXPENSES-DISTRIBUTION</t>
  </si>
  <si>
    <t>589: RENTS-DISTRIBUTION</t>
  </si>
  <si>
    <t>590: MTCE SUPERVISION AND ENGINEERING-DISTRIB</t>
  </si>
  <si>
    <t>591: MAINTENANCE OF STRUCTURES-DISTRIBUTION</t>
  </si>
  <si>
    <t>592: MTCE STATION EQUIPMENT-DISTRIBUTION</t>
  </si>
  <si>
    <t>593: MAINTENANCE OF OVERHEAD LINES-DISTRIB</t>
  </si>
  <si>
    <t>594: MAINTENANCE OF UNDERGROUND LINES-DISTRIB</t>
  </si>
  <si>
    <t>595: MAINTENANCE OF LINE TRANSFORMERS-DISTRIB</t>
  </si>
  <si>
    <t>596: MTCE ST LIGHTING &amp; SIGNAL SYST-DISTRIB</t>
  </si>
  <si>
    <t>597: MAINTENANCE OF METERS-DISTRIBUTION</t>
  </si>
  <si>
    <t>598: MAINTENANCE OF MISC PLANT-DISTRIBUTION</t>
  </si>
  <si>
    <t>901: SUPERVISION-CUSTOMER ACCOUNTS</t>
  </si>
  <si>
    <t>902: METER READING EXPENSES-CUSTOMER ACCOUNTS</t>
  </si>
  <si>
    <t>903: RECORDS AND COLLECTION EXP-CUSTOMER ACCT</t>
  </si>
  <si>
    <t>904: UNCOLLECTIBLE ACCOUNTS-CUSTOMER ACCOUNTS</t>
  </si>
  <si>
    <t>907: SUPERVISION-CUSTOMER SERVICE &amp; INFORMAT</t>
  </si>
  <si>
    <t>908: ASSISTANCE EXPENSES-CUSTMR SERV &amp; INFORM</t>
  </si>
  <si>
    <t>909: INFORMAT &amp; INSTRCTL ADVTG-CUST SERV &amp; IN</t>
  </si>
  <si>
    <t>910: MISC EXPENSES-CUSTOMER SERVICE &amp; INFORM</t>
  </si>
  <si>
    <t>911: SUPERVISION-SALES</t>
  </si>
  <si>
    <t>916: MISCELLANEOUS EXPENSES-SALES</t>
  </si>
  <si>
    <t>920: SALARIES-ADMINISTRATIVE &amp; GENERAL</t>
  </si>
  <si>
    <t>921: OFFICE SUPPL AND EXP-ADMIN &amp; GENERAL</t>
  </si>
  <si>
    <t>922: EXPENSES TRANSFERRED-CR-ADMIN &amp; GENERAL</t>
  </si>
  <si>
    <t>923: OUTSIDE SERVICES EMPLOYED-ADMIN &amp; GENER</t>
  </si>
  <si>
    <t>924: PROPERTY INSURANCE-ADMIN &amp; GENERAL</t>
  </si>
  <si>
    <t>925: INJURIES AND DAMAGES-ADMIN &amp; GENERAL</t>
  </si>
  <si>
    <t>926: EMPLY PENSIONS AND BENEFITS-ADMIN &amp; GEN</t>
  </si>
  <si>
    <t>928: REGULATORY COMMISSION EXP-ADMIN &amp; GEN</t>
  </si>
  <si>
    <t>929: DUPLICATE CHARGES-CREDIT-ADMIN &amp; GENER</t>
  </si>
  <si>
    <t>930: MISCELLANEOUS GENERAL EXPENSES</t>
  </si>
  <si>
    <t>931: RENTS-ADMIN &amp; GENERAL</t>
  </si>
  <si>
    <t>935: MAINTENANCE OF GENERAL PLANT(PRIOR TO 12</t>
  </si>
  <si>
    <t>COMPANY ADJUSTMENTS</t>
  </si>
  <si>
    <t>#</t>
  </si>
  <si>
    <t>COSID</t>
  </si>
  <si>
    <t>DESCRIPTION</t>
  </si>
  <si>
    <t>PRIOR YEAR</t>
  </si>
  <si>
    <t>SOURCE</t>
  </si>
  <si>
    <t>SIGN</t>
  </si>
  <si>
    <t>Responsible</t>
  </si>
  <si>
    <t>FPSC ADJUSTMENTS - RATE BASE</t>
  </si>
  <si>
    <t>ADJ101251</t>
  </si>
  <si>
    <t>PLT IN SERV-NUCLEAR RECOVERY - UPRATES</t>
  </si>
  <si>
    <t>MANUAL</t>
  </si>
  <si>
    <t>Barry Fisher</t>
  </si>
  <si>
    <t>ADJ101252</t>
  </si>
  <si>
    <t>PLT IN SERV-NUCLEAR RECOVERY - UPRATES - TRANS</t>
  </si>
  <si>
    <t>ADJ101386</t>
  </si>
  <si>
    <t>SOLAR ECRC CONVERTIBLE ITC - SPECIFIC</t>
  </si>
  <si>
    <t>FFM BAL</t>
  </si>
  <si>
    <t>Tom Kelliher</t>
  </si>
  <si>
    <t>ADJ107188</t>
  </si>
  <si>
    <t>CWIP - ENVIRONMENTAL PROJECTS (STEAM)</t>
  </si>
  <si>
    <t>ADJ107100</t>
  </si>
  <si>
    <t>CWIP ELIGIBLE FOR AFUDC -STEAM</t>
  </si>
  <si>
    <t>ADJ107200</t>
  </si>
  <si>
    <t>CWIP ELIGIBLE FOR AFUDC -NUC</t>
  </si>
  <si>
    <t>ADJ107210</t>
  </si>
  <si>
    <t xml:space="preserve">CWIP ELIG FOR AFUDC -NUC RECOV </t>
  </si>
  <si>
    <t>ADJ107288</t>
  </si>
  <si>
    <t>CWIP - ENVIRONMENTAL PROJECTS (NUCLEAR)</t>
  </si>
  <si>
    <t>ADJ107300</t>
  </si>
  <si>
    <t>CWIP ELIGIBLE FOR AFUDC -OTH</t>
  </si>
  <si>
    <t>ADJ107388</t>
  </si>
  <si>
    <t>CWIP - ENVIRONMENTAL PROJECTS (OTHER)</t>
  </si>
  <si>
    <t>ADJ107400</t>
  </si>
  <si>
    <t>CWIP ELIGIBLE FOR AFUDC -TRANS</t>
  </si>
  <si>
    <t>ADJ107410</t>
  </si>
  <si>
    <t>CWIP ELIGIBLE FOR AFUDC -TRANS - NUC RECOVERY</t>
  </si>
  <si>
    <t>ADJ107488</t>
  </si>
  <si>
    <t>CWIP - ENVIRONMENTAL PROJECTS (TRANS)</t>
  </si>
  <si>
    <t>ADJ108251</t>
  </si>
  <si>
    <t>ACC PROV DEPR-NUCLEAR RECOVERY - UPRATES</t>
  </si>
  <si>
    <t>ADJ108252</t>
  </si>
  <si>
    <t>ACC PROV DEPR-NUCLEAR RECOVERY - TRANS</t>
  </si>
  <si>
    <t>ADJ143124</t>
  </si>
  <si>
    <t>ACCTS RECEIV - NON FPL MEDICAL REIMB</t>
  </si>
  <si>
    <t>ADJ172000</t>
  </si>
  <si>
    <t>POLE ATTACHMENTS RENT RECEIVABLE</t>
  </si>
  <si>
    <t>ADJ174100</t>
  </si>
  <si>
    <t>JOBBING ACCOUNTS</t>
  </si>
  <si>
    <t>ADJ186928</t>
  </si>
  <si>
    <t>WORKING CAPITAL - DEFERRED RATE CASE EXPENSE</t>
  </si>
  <si>
    <t>Loretta Duran</t>
  </si>
  <si>
    <t>ADJ228101</t>
  </si>
  <si>
    <t>ACCUM PROV FOR PROP INSURANCE - STORM DEF TAX</t>
  </si>
  <si>
    <t>ADJ228450</t>
  </si>
  <si>
    <t>ACC MISC OPER PROV - ACCUM DEF RETIREMENT BENEFITS</t>
  </si>
  <si>
    <t>ADJ253102</t>
  </si>
  <si>
    <t>OTHER DEF CREDITS - FLAGAMI SETTLEMENT</t>
  </si>
  <si>
    <t>ADJ853249</t>
  </si>
  <si>
    <t>OTHER REG LIAB - SJRPP ACCELERATED RECOVERY</t>
  </si>
  <si>
    <t>ADJ101024</t>
  </si>
  <si>
    <t>PLT IN SERV - MARTIN &amp; MANATEE - ESP</t>
  </si>
  <si>
    <t>ADJ108024</t>
  </si>
  <si>
    <t>ACC PROV DEPR - MARTIN &amp; MANATEE - ESP</t>
  </si>
  <si>
    <t>FPSC ADJUSTMENTS - NOI</t>
  </si>
  <si>
    <t>AJI018010</t>
  </si>
  <si>
    <t>OPERATING REVENUES - EPU NUCLEAR UPRATES</t>
  </si>
  <si>
    <t>AJI018015</t>
  </si>
  <si>
    <t>O&amp;M EXPENSE - INCREMENTAL EPU O&amp;M</t>
  </si>
  <si>
    <t>AJI018016</t>
  </si>
  <si>
    <t>BAD EXPENSE - NUCLEAR UPRATES</t>
  </si>
  <si>
    <t>AJI018020</t>
  </si>
  <si>
    <t>PROPERTY INSURANCE - EPU NUCLEAR UPRATES</t>
  </si>
  <si>
    <t>AJI018030</t>
  </si>
  <si>
    <t>DEPRECIATION EXPENSE - EPU NUCLEAR UPRATES</t>
  </si>
  <si>
    <t>AJI018032</t>
  </si>
  <si>
    <t>DEPRECIATION EXPENSE - EPU UPRATES - TRANS</t>
  </si>
  <si>
    <t>AJI018040</t>
  </si>
  <si>
    <t>PROPERTY TAXES - EPU NUCLEAR UPRATES</t>
  </si>
  <si>
    <t>AJI018050</t>
  </si>
  <si>
    <t>REGULATORY ASSESSMENT FEE - EPU NUCLEAR UPRATES</t>
  </si>
  <si>
    <t>AJI018051</t>
  </si>
  <si>
    <t>EPU NUCLEAR UPRATES - FIT</t>
  </si>
  <si>
    <t>CALC</t>
  </si>
  <si>
    <t>AJI018052</t>
  </si>
  <si>
    <t>EPU NUCLEAR UPRATES - SIT</t>
  </si>
  <si>
    <t>FINANCIAL PLANNING SERVICE</t>
  </si>
  <si>
    <t>HIST</t>
  </si>
  <si>
    <t>INDUSTRY ASSOCIATION DUES</t>
  </si>
  <si>
    <t>ECONOMIC DEVELOPMENT</t>
  </si>
  <si>
    <t>INTEREST ON TAX DEFICIENCIES</t>
  </si>
  <si>
    <t>FFM INC</t>
  </si>
  <si>
    <t>AJI432101</t>
  </si>
  <si>
    <t>AFUDC DEBT - FED DEFERRED TAXES</t>
  </si>
  <si>
    <t>Dave Huss</t>
  </si>
  <si>
    <t>AJI432102</t>
  </si>
  <si>
    <t>AFUDC DEBT - STATE DEFERRED TAXES</t>
  </si>
  <si>
    <t>EXECUTIVE COMPENSATION</t>
  </si>
  <si>
    <t>HR</t>
  </si>
  <si>
    <t>AVIATION EXPENSES</t>
  </si>
  <si>
    <t>HR / HIST</t>
  </si>
  <si>
    <t>AJI020004</t>
  </si>
  <si>
    <t>DEPRECIATION EXPENSE - MARTIN &amp; MANATEE ESP</t>
  </si>
  <si>
    <t>AJI020051</t>
  </si>
  <si>
    <t>MARTIN &amp; MANATEE ESP - FIT</t>
  </si>
  <si>
    <t>Calc - TTK</t>
  </si>
  <si>
    <t>AJC026052</t>
  </si>
  <si>
    <t>MARTIN &amp; MANATEE ESP - SIT</t>
  </si>
  <si>
    <t>ADJUSTMENTS - TAX</t>
  </si>
  <si>
    <t>TAX100105</t>
  </si>
  <si>
    <t>STATE PERM DIFF TOTAL -Opp sign</t>
  </si>
  <si>
    <t>TAX100110</t>
  </si>
  <si>
    <t>STATE NORMALZD DIFF -Opp sign</t>
  </si>
  <si>
    <t>TAX400105</t>
  </si>
  <si>
    <t>FEDRL PERM DIFF TOTAL -Opp sign</t>
  </si>
  <si>
    <t>TAX400110</t>
  </si>
  <si>
    <t>FEDRL NORMALZD DIFF -Opp sign</t>
  </si>
  <si>
    <t>TAX900000</t>
  </si>
  <si>
    <t>STATE INCOME TAX RATE</t>
  </si>
  <si>
    <t>TAX900100</t>
  </si>
  <si>
    <t>FEDERAL INCOME TAX RATE</t>
  </si>
  <si>
    <t>TAX990110</t>
  </si>
  <si>
    <t>EFFECTIVE INCOME TAX RATE</t>
  </si>
  <si>
    <t>TAX990120</t>
  </si>
  <si>
    <t>EFFECTIVE FEDERAL TAX RATE</t>
  </si>
  <si>
    <t>TAX990130</t>
  </si>
  <si>
    <t>GROSS RECEIPTS TAX RATE</t>
  </si>
  <si>
    <t>TAX990140</t>
  </si>
  <si>
    <t>REGULATORY ASSESSMENT FEE RATE</t>
  </si>
  <si>
    <t xml:space="preserve">COMPANY ADJUSTMENTS - NOI </t>
  </si>
  <si>
    <t>AJC020020</t>
  </si>
  <si>
    <t>Rate Case Expense Amort</t>
  </si>
  <si>
    <t>AJC020021</t>
  </si>
  <si>
    <t>Rate Case Expense Offset</t>
  </si>
  <si>
    <t>AJC020051</t>
  </si>
  <si>
    <t>Rate Case Expense - FIT</t>
  </si>
  <si>
    <t>AJC020052</t>
  </si>
  <si>
    <t>Rate Case Expense - SIT</t>
  </si>
  <si>
    <t>AJC021002</t>
  </si>
  <si>
    <t>O&amp;M EXPENSE - CAPE CANAVERAL INCR O&amp;M</t>
  </si>
  <si>
    <t>AJC021003</t>
  </si>
  <si>
    <t>PROPERTY INSURANCE - CAPE CANAVERAL</t>
  </si>
  <si>
    <t>AJC021004</t>
  </si>
  <si>
    <t>DEPRECIATION EXPENSE - CAPE CANAVERAL</t>
  </si>
  <si>
    <t>AJC021005</t>
  </si>
  <si>
    <t>PROPERTY TAXES - CAPE CANAVERAL</t>
  </si>
  <si>
    <t>AJC021006</t>
  </si>
  <si>
    <t xml:space="preserve">CAPE CANAVERAL TAXES OTHER </t>
  </si>
  <si>
    <t>AJC021007</t>
  </si>
  <si>
    <t>DEPRECIATION EXPENSE - CAPE CANAVERAL TRANS</t>
  </si>
  <si>
    <t>AJC021051</t>
  </si>
  <si>
    <t>CAPE CANAVERAL - FIT</t>
  </si>
  <si>
    <t>AJC021052</t>
  </si>
  <si>
    <t>CAPE CANAVERAL - SIT</t>
  </si>
  <si>
    <t>AJC022004</t>
  </si>
  <si>
    <t>AMORTIZATION EXPENSE - CAPITAL RECOVERY</t>
  </si>
  <si>
    <t>Liz Fuentes</t>
  </si>
  <si>
    <t>AJC022051</t>
  </si>
  <si>
    <t>CAPITAL RECOVERY - FIT</t>
  </si>
  <si>
    <t>AJC022052</t>
  </si>
  <si>
    <t>CAPITAL RECOVERY - SIT</t>
  </si>
  <si>
    <t>AJC023004</t>
  </si>
  <si>
    <t>DEPRECIATION EXPENSE - SAP 20 YEAR AMORT</t>
  </si>
  <si>
    <t>AJC023051</t>
  </si>
  <si>
    <t>SAP 20 YEAR AMORT - FIT</t>
  </si>
  <si>
    <t>AJC023052</t>
  </si>
  <si>
    <t>SAP 20 YEAR AMORT - SIT</t>
  </si>
  <si>
    <t>AJC015010</t>
  </si>
  <si>
    <t>CONSERVATION BASE O&amp;M</t>
  </si>
  <si>
    <t>AJC015051</t>
  </si>
  <si>
    <t>CONSERVATION BASE O&amp;M - FIT</t>
  </si>
  <si>
    <t>AJC015052</t>
  </si>
  <si>
    <t>CONSERVATION BASE O&amp;M - SIT</t>
  </si>
  <si>
    <t>AJC024002</t>
  </si>
  <si>
    <t>PAYROLL LOADINGS - INCREMENTAL SECURITY</t>
  </si>
  <si>
    <t>AJC024005</t>
  </si>
  <si>
    <t>PAYROLL LOADINGS - TOIT  - INCREMENTAL SECURITY</t>
  </si>
  <si>
    <t>AJC024051</t>
  </si>
  <si>
    <t>PAYROLL LOADINGS - FIT</t>
  </si>
  <si>
    <t>AJC024052</t>
  </si>
  <si>
    <t>PAYROLL LOADINGS - SIT</t>
  </si>
  <si>
    <t>AJC027002</t>
  </si>
  <si>
    <t>ECRC BASE TO CLAUSE</t>
  </si>
  <si>
    <t>AJC027051</t>
  </si>
  <si>
    <t>ECRC BASE TO CLAUSE - FIT</t>
  </si>
  <si>
    <t>AJC027052</t>
  </si>
  <si>
    <t>ECRC BASE TO CLAUSE - SIT</t>
  </si>
  <si>
    <t>RATE BASE COMPANY ADJUSTMENTS</t>
  </si>
  <si>
    <t>ADC021001</t>
  </si>
  <si>
    <t>PLT IN SERV-CAPE CANAVERAL</t>
  </si>
  <si>
    <t>ADC021003</t>
  </si>
  <si>
    <t>PLT IN SERV-CAPE CANAVERAL - TRANS</t>
  </si>
  <si>
    <t>ADC021002</t>
  </si>
  <si>
    <t>ACC PROV DEPR - CAPE CANAVERAL</t>
  </si>
  <si>
    <t>ADC021004</t>
  </si>
  <si>
    <t>ACC PROV DEPR - CAPE CANAVERAL - TRANS</t>
  </si>
  <si>
    <t>ADC022001</t>
  </si>
  <si>
    <t>PLT IN SERV - PORT EVERGLADES - ESP</t>
  </si>
  <si>
    <t>ADC022002</t>
  </si>
  <si>
    <t>ACC PROV DEPR - PORT EVERGLADES - ESP</t>
  </si>
  <si>
    <t>ADC023002</t>
  </si>
  <si>
    <t xml:space="preserve">ACC PROV DEPR - SAP AMORT - 20 YR </t>
  </si>
  <si>
    <t>ADC026001</t>
  </si>
  <si>
    <t>PLT IN SERV - CAPITALIZED EXEC COMPENSATION</t>
  </si>
  <si>
    <t>ADC025002</t>
  </si>
  <si>
    <t>ACC PROC DEPR - CAPITAL RECOVERY</t>
  </si>
  <si>
    <t>ADC010050</t>
  </si>
  <si>
    <t>WORKING CAPITAL - RATE CASE EXPENSE</t>
  </si>
  <si>
    <t>STATISTICS</t>
  </si>
  <si>
    <t>STACPRC20</t>
  </si>
  <si>
    <t>CPRC YEARLY FACTOR</t>
  </si>
  <si>
    <t>STAECCR10</t>
  </si>
  <si>
    <t>CONSERVATION FACTOR</t>
  </si>
  <si>
    <t>STAECRC20</t>
  </si>
  <si>
    <t>ECRC YEARLY FACTOR</t>
  </si>
  <si>
    <t>STAFUEL20</t>
  </si>
  <si>
    <t>FUEL YEARLY FACTOR</t>
  </si>
  <si>
    <t>STAKWH020</t>
  </si>
  <si>
    <t>RETAIL ENERGY</t>
  </si>
  <si>
    <t>STAKWH030</t>
  </si>
  <si>
    <t>WHOLESALE ENERGY</t>
  </si>
  <si>
    <t>STAKWH050</t>
  </si>
  <si>
    <t>CUSTOMERS</t>
  </si>
  <si>
    <t>CSACAPADJ</t>
  </si>
  <si>
    <t>S&amp;P BALANCE SHEET ADJ</t>
  </si>
  <si>
    <t>CSACAPCOM</t>
  </si>
  <si>
    <t>FPSC S&amp;P MAX EQUITY RATIO</t>
  </si>
  <si>
    <t>CSACOMCRT</t>
  </si>
  <si>
    <t>COMMON EQUITY COST RATE</t>
  </si>
  <si>
    <t>ADDITIONAL FORECAST DETAIL</t>
  </si>
  <si>
    <t>INC051010</t>
  </si>
  <si>
    <t>MISC SERVICE REVENUES - INITIAL CONNECTION</t>
  </si>
  <si>
    <t>INC051020</t>
  </si>
  <si>
    <t>MISC SERVICE REVENUES - RECONNECT</t>
  </si>
  <si>
    <t>INC051030</t>
  </si>
  <si>
    <t>MISC SERVICE REVENUES - CONNECT - DISCONNECT</t>
  </si>
  <si>
    <t>INC051040</t>
  </si>
  <si>
    <t>MISC SERVICE REVENUES - RETURNED CHECKS</t>
  </si>
  <si>
    <t>INC051050</t>
  </si>
  <si>
    <t>MISC SERVICE REVENUES - CURRENT DIVESION PENALTY</t>
  </si>
  <si>
    <t>INC051060</t>
  </si>
  <si>
    <t>MISC SERVICE REVENUES - OTHER BILLINGS</t>
  </si>
  <si>
    <t>INC051100</t>
  </si>
  <si>
    <t>MISC SERVICE REVENUES - OTHER</t>
  </si>
  <si>
    <t>INC056211</t>
  </si>
  <si>
    <t>TRANSMISSION REV - LONG TERM FIRM</t>
  </si>
  <si>
    <t>INC056213</t>
  </si>
  <si>
    <t>TRANSMISSION REV - SHORT TERM NON FIRM</t>
  </si>
  <si>
    <t>INC056222</t>
  </si>
  <si>
    <t>TRANSMISSION REV - ANCIL SERVICES ( REAC )</t>
  </si>
  <si>
    <t>INC056224</t>
  </si>
  <si>
    <t>TRANSMISSION REV - ANCIL SERVICES ( REG, SPIN )</t>
  </si>
  <si>
    <t>INC056249</t>
  </si>
  <si>
    <t>TRANSMISSION REV - WHOLESALE DISTRIBUTION</t>
  </si>
  <si>
    <t>INC608101</t>
  </si>
  <si>
    <t>TAX OTH INC TAX - PAYROLL - CAPACITY</t>
  </si>
  <si>
    <t>LORETTA</t>
  </si>
  <si>
    <t>INC608100</t>
  </si>
  <si>
    <t>TAX OTH INC TAX - PAYROLL - BASE</t>
  </si>
  <si>
    <t>INC521151</t>
  </si>
  <si>
    <t>FREC O&amp;M -  A&amp;G ADMINISTRATION FEES</t>
  </si>
  <si>
    <t>TTK</t>
  </si>
  <si>
    <t>INC523151</t>
  </si>
  <si>
    <t>FREC O&amp;M -  A&amp;G SERVICE FEES</t>
  </si>
  <si>
    <t>A&amp;G EXP - MISC GENERAL EXPENSES</t>
  </si>
  <si>
    <t>RAF: NOI &amp; Rate Base Adjustment Trend</t>
  </si>
  <si>
    <t>AJI520020: AJI520020: AVIATION - EXPENSES</t>
  </si>
  <si>
    <t>AJI520021: AJI520021: AVIATION - FEDERAL INCOME TAXES</t>
  </si>
  <si>
    <t>AJI520022: AJI520022: AVIATION - STATE INCOME TAXES</t>
  </si>
  <si>
    <t>AJI230310: AJI230310: ECONOMIC DEVELOPMENT  5%</t>
  </si>
  <si>
    <t>AJI230311: AJI230311: ECONOMIC DEVELOPMENT  5% - FEDERAL INCOME TAXES</t>
  </si>
  <si>
    <t>AJI230312: AJI230312: ECONOMIC DEVELOPMENT   5% - STATE INCOME TAXES</t>
  </si>
  <si>
    <t>AJI520010: AJI520010: EXECUTIVE COMPENSATION</t>
  </si>
  <si>
    <t>AJI520011: AJI520011: EXECUTIVE COMPENSATION - FEDERAL INCOME TAXES</t>
  </si>
  <si>
    <t>AJI520012: AJI520012: EXECUTIVE COMPENSATION - STATE INCOME TAXES</t>
  </si>
  <si>
    <t>AJI221200: AJI221200: FINANCIAL PLANNING SERVICES - OFFICERS,EXEC,OTH EMP</t>
  </si>
  <si>
    <t>AJI221201: AJI221201: FINANCIAL PLANNING SERVICES - FEDERAL INCOME TAXES</t>
  </si>
  <si>
    <t>AJI221202: AJI221202: FINANCIAL PLANNING SERVICES - STATE INCOME TAXES</t>
  </si>
  <si>
    <t>AJI230205: AJI230205: INDUSTRY ASSOCIATION DUES</t>
  </si>
  <si>
    <t>AJI230206: AJI230206: INDUSTRY ASSOCIATION DUES - FEDERAL INCOME TAXES</t>
  </si>
  <si>
    <t>AJI230207: AJI230207: INDUSTRY ASSOCIATION DUES - STATE INCOME TAXES</t>
  </si>
  <si>
    <t>AJI431000: AJI431000: INTEREST ON TAX DEFICIENCIES</t>
  </si>
  <si>
    <t>AJI431001: AJI431001: INTEREST ON TAX DEFICIENCIES - FEDERAL INCOME TAXES</t>
  </si>
  <si>
    <t>AJI431002: AJI431002: INTEREST ON TAX DEFICIENCIES - STATE INCOME TAXES</t>
  </si>
  <si>
    <t>OPC 012795</t>
  </si>
  <si>
    <t>FPL RC-16</t>
  </si>
  <si>
    <t>OPC 012796</t>
  </si>
  <si>
    <t>OPC 012797</t>
  </si>
  <si>
    <t>OPC 012798</t>
  </si>
  <si>
    <t>OPC 012799</t>
  </si>
  <si>
    <t>OPC 012800</t>
  </si>
  <si>
    <t>OPC 012801</t>
  </si>
  <si>
    <t>OPC 012802</t>
  </si>
  <si>
    <t>OPC 012803</t>
  </si>
  <si>
    <t>OPC 012804</t>
  </si>
  <si>
    <t>OPC 012805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</si>
</sst>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00000"/>
    <numFmt numFmtId="166" formatCode="0.0"/>
    <numFmt numFmtId="167" formatCode="0.0000"/>
    <numFmt numFmtId="168" formatCode="0.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_);\(#,##0.0\)"/>
    <numFmt numFmtId="175" formatCode="0.00000"/>
    <numFmt numFmtId="176" formatCode="_(* #,##0.000_);_(* \(#,##0.000\);_(* &quot;-&quot;??_);_(@_)"/>
    <numFmt numFmtId="177" formatCode="#,##0.000"/>
    <numFmt numFmtId="178" formatCode="0.00000000"/>
    <numFmt numFmtId="179" formatCode="#,##0_);[Red]\(#,##0\);&quot; &quot;"/>
    <numFmt numFmtId="180" formatCode="#,##0.000_);\(#,##0.000\)"/>
    <numFmt numFmtId="181" formatCode="#,##0.0;\(#,##0.0\)"/>
    <numFmt numFmtId="182" formatCode="#,##0.00;\(#,##0.00\)"/>
    <numFmt numFmtId="183" formatCode="[$-409]mmm\-yy;@"/>
    <numFmt numFmtId="184" formatCode="#,##0.00000_);\(#,##0.00000\)"/>
    <numFmt numFmtId="185" formatCode="#,##0.000000_);\(#,##0.000000\)"/>
    <numFmt numFmtId="186" formatCode="_(* #,##0_);_(* \(#,##0\);_(* &quot;-&quot;??_);_(@_)"/>
    <numFmt numFmtId="187" formatCode="#,##0.00000"/>
    <numFmt numFmtId="188" formatCode="0.00000%"/>
    <numFmt numFmtId="189" formatCode="0.000000%"/>
  </numFmts>
  <fonts count="5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name val="Book Antiqua"/>
      <family val="1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6"/>
      <name val="Tahoma"/>
      <family val="2"/>
    </font>
    <font>
      <b/>
      <strike/>
      <sz val="8"/>
      <name val="Arial"/>
      <family val="2"/>
    </font>
    <font>
      <strike/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/>
      <bottom style="double"/>
    </border>
    <border>
      <left/>
      <right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9" fillId="0" borderId="0">
      <alignment/>
      <protection/>
    </xf>
    <xf numFmtId="0" fontId="15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4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7" fontId="1" fillId="0" borderId="10" xfId="0" applyNumberFormat="1" applyFont="1" applyBorder="1" applyAlignment="1">
      <alignment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7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1" fillId="0" borderId="0" xfId="0" applyFont="1" applyAlignment="1">
      <alignment/>
    </xf>
    <xf numFmtId="37" fontId="2" fillId="0" borderId="11" xfId="0" applyNumberFormat="1" applyFont="1" applyBorder="1" applyAlignment="1">
      <alignment horizontal="center" wrapText="1"/>
    </xf>
    <xf numFmtId="37" fontId="1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1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 horizontal="left"/>
    </xf>
    <xf numFmtId="166" fontId="2" fillId="0" borderId="11" xfId="0" applyNumberFormat="1" applyFont="1" applyBorder="1" applyAlignment="1">
      <alignment horizontal="center" wrapTex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37" fontId="1" fillId="0" borderId="11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37" fontId="2" fillId="0" borderId="1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 wrapText="1"/>
    </xf>
    <xf numFmtId="37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37" fontId="2" fillId="0" borderId="1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164" fontId="1" fillId="33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 horizontal="center"/>
    </xf>
    <xf numFmtId="164" fontId="1" fillId="35" borderId="0" xfId="0" applyNumberFormat="1" applyFont="1" applyFill="1" applyBorder="1" applyAlignment="1">
      <alignment/>
    </xf>
    <xf numFmtId="164" fontId="1" fillId="35" borderId="0" xfId="0" applyNumberFormat="1" applyFont="1" applyFill="1" applyBorder="1" applyAlignment="1">
      <alignment horizontal="center"/>
    </xf>
    <xf numFmtId="164" fontId="1" fillId="36" borderId="0" xfId="0" applyNumberFormat="1" applyFont="1" applyFill="1" applyBorder="1" applyAlignment="1">
      <alignment/>
    </xf>
    <xf numFmtId="164" fontId="1" fillId="36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56" fillId="0" borderId="0" xfId="0" applyFont="1" applyAlignment="1">
      <alignment/>
    </xf>
    <xf numFmtId="164" fontId="1" fillId="37" borderId="0" xfId="0" applyNumberFormat="1" applyFont="1" applyFill="1" applyBorder="1" applyAlignment="1">
      <alignment horizontal="center"/>
    </xf>
    <xf numFmtId="164" fontId="1" fillId="37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0" borderId="0" xfId="62" applyFont="1" applyFill="1" applyBorder="1">
      <alignment/>
      <protection/>
    </xf>
    <xf numFmtId="0" fontId="5" fillId="0" borderId="0" xfId="0" applyFont="1" applyFill="1" applyBorder="1" applyAlignment="1">
      <alignment horizontal="center"/>
    </xf>
    <xf numFmtId="0" fontId="5" fillId="0" borderId="0" xfId="62" applyFont="1" applyFill="1" applyBorder="1" applyAlignment="1">
      <alignment horizontal="center"/>
      <protection/>
    </xf>
    <xf numFmtId="0" fontId="1" fillId="0" borderId="0" xfId="62" applyFont="1" applyFill="1" applyBorder="1" applyAlignment="1">
      <alignment horizontal="center"/>
      <protection/>
    </xf>
    <xf numFmtId="0" fontId="1" fillId="38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38" borderId="0" xfId="62" applyFont="1" applyFill="1" applyBorder="1" applyAlignment="1">
      <alignment horizontal="center"/>
      <protection/>
    </xf>
    <xf numFmtId="3" fontId="2" fillId="0" borderId="12" xfId="0" applyNumberFormat="1" applyFont="1" applyFill="1" applyBorder="1" applyAlignment="1">
      <alignment horizontal="center"/>
    </xf>
    <xf numFmtId="3" fontId="2" fillId="39" borderId="12" xfId="0" applyNumberFormat="1" applyFont="1" applyFill="1" applyBorder="1" applyAlignment="1">
      <alignment horizontal="center"/>
    </xf>
    <xf numFmtId="3" fontId="2" fillId="4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39" borderId="13" xfId="0" applyNumberFormat="1" applyFont="1" applyFill="1" applyBorder="1" applyAlignment="1">
      <alignment horizontal="center"/>
    </xf>
    <xf numFmtId="3" fontId="2" fillId="4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14" xfId="0" applyNumberFormat="1" applyFont="1" applyFill="1" applyBorder="1" applyAlignment="1" quotePrefix="1">
      <alignment horizontal="center"/>
    </xf>
    <xf numFmtId="0" fontId="1" fillId="0" borderId="14" xfId="62" applyFont="1" applyFill="1" applyBorder="1" applyAlignment="1" quotePrefix="1">
      <alignment horizontal="center"/>
      <protection/>
    </xf>
    <xf numFmtId="0" fontId="1" fillId="38" borderId="14" xfId="62" applyFont="1" applyFill="1" applyBorder="1" applyAlignment="1" quotePrefix="1">
      <alignment horizontal="center"/>
      <protection/>
    </xf>
    <xf numFmtId="3" fontId="1" fillId="0" borderId="15" xfId="0" applyNumberFormat="1" applyFont="1" applyFill="1" applyBorder="1" applyAlignment="1" quotePrefix="1">
      <alignment horizontal="center"/>
    </xf>
    <xf numFmtId="3" fontId="2" fillId="39" borderId="15" xfId="0" applyNumberFormat="1" applyFont="1" applyFill="1" applyBorder="1" applyAlignment="1">
      <alignment horizontal="center"/>
    </xf>
    <xf numFmtId="3" fontId="2" fillId="40" borderId="15" xfId="0" applyNumberFormat="1" applyFont="1" applyFill="1" applyBorder="1" applyAlignment="1" quotePrefix="1">
      <alignment horizontal="center"/>
    </xf>
    <xf numFmtId="3" fontId="1" fillId="38" borderId="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/>
      <protection locked="0"/>
    </xf>
    <xf numFmtId="37" fontId="1" fillId="38" borderId="0" xfId="0" applyNumberFormat="1" applyFont="1" applyFill="1" applyBorder="1" applyAlignment="1">
      <alignment horizontal="center"/>
    </xf>
    <xf numFmtId="37" fontId="1" fillId="0" borderId="13" xfId="0" applyNumberFormat="1" applyFont="1" applyFill="1" applyBorder="1" applyAlignment="1">
      <alignment horizontal="center"/>
    </xf>
    <xf numFmtId="37" fontId="2" fillId="0" borderId="1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37" fontId="1" fillId="0" borderId="14" xfId="0" applyNumberFormat="1" applyFont="1" applyFill="1" applyBorder="1" applyAlignment="1">
      <alignment horizontal="center"/>
    </xf>
    <xf numFmtId="37" fontId="1" fillId="38" borderId="14" xfId="0" applyNumberFormat="1" applyFont="1" applyFill="1" applyBorder="1" applyAlignment="1">
      <alignment horizontal="center"/>
    </xf>
    <xf numFmtId="37" fontId="1" fillId="0" borderId="15" xfId="0" applyNumberFormat="1" applyFont="1" applyFill="1" applyBorder="1" applyAlignment="1">
      <alignment horizontal="center"/>
    </xf>
    <xf numFmtId="37" fontId="2" fillId="0" borderId="1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174" fontId="1" fillId="38" borderId="0" xfId="0" applyNumberFormat="1" applyFont="1" applyFill="1" applyBorder="1" applyAlignment="1">
      <alignment horizontal="center"/>
    </xf>
    <xf numFmtId="37" fontId="2" fillId="41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5" fontId="1" fillId="38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7" fontId="1" fillId="42" borderId="17" xfId="0" applyNumberFormat="1" applyFont="1" applyFill="1" applyBorder="1" applyAlignment="1">
      <alignment horizontal="center"/>
    </xf>
    <xf numFmtId="37" fontId="1" fillId="38" borderId="17" xfId="0" applyNumberFormat="1" applyFont="1" applyFill="1" applyBorder="1" applyAlignment="1">
      <alignment horizontal="center"/>
    </xf>
    <xf numFmtId="37" fontId="1" fillId="42" borderId="18" xfId="0" applyNumberFormat="1" applyFont="1" applyFill="1" applyBorder="1" applyAlignment="1">
      <alignment horizontal="center"/>
    </xf>
    <xf numFmtId="37" fontId="2" fillId="0" borderId="18" xfId="0" applyNumberFormat="1" applyFont="1" applyFill="1" applyBorder="1" applyAlignment="1">
      <alignment horizontal="center"/>
    </xf>
    <xf numFmtId="0" fontId="1" fillId="0" borderId="0" xfId="62" applyFont="1" applyFill="1" applyBorder="1" applyAlignment="1">
      <alignment horizontal="right"/>
      <protection/>
    </xf>
    <xf numFmtId="3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0" fontId="1" fillId="0" borderId="0" xfId="62" applyFont="1" applyFill="1" applyBorder="1">
      <alignment/>
      <protection/>
    </xf>
    <xf numFmtId="37" fontId="1" fillId="0" borderId="0" xfId="62" applyNumberFormat="1" applyFont="1" applyFill="1" applyBorder="1" applyAlignment="1">
      <alignment horizontal="center"/>
      <protection/>
    </xf>
    <xf numFmtId="165" fontId="1" fillId="0" borderId="0" xfId="62" applyNumberFormat="1" applyFont="1" applyFill="1" applyBorder="1" applyAlignment="1">
      <alignment horizontal="center"/>
      <protection/>
    </xf>
    <xf numFmtId="37" fontId="1" fillId="43" borderId="0" xfId="0" applyNumberFormat="1" applyFont="1" applyFill="1" applyBorder="1" applyAlignment="1">
      <alignment horizontal="center"/>
    </xf>
    <xf numFmtId="165" fontId="1" fillId="43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13" borderId="0" xfId="0" applyNumberFormat="1" applyFont="1" applyFill="1" applyBorder="1" applyAlignment="1">
      <alignment/>
    </xf>
    <xf numFmtId="0" fontId="1" fillId="13" borderId="0" xfId="0" applyFont="1" applyFill="1" applyBorder="1" applyAlignment="1">
      <alignment/>
    </xf>
    <xf numFmtId="37" fontId="1" fillId="13" borderId="0" xfId="0" applyNumberFormat="1" applyFont="1" applyFill="1" applyBorder="1" applyAlignment="1">
      <alignment horizontal="center"/>
    </xf>
    <xf numFmtId="37" fontId="1" fillId="44" borderId="0" xfId="0" applyNumberFormat="1" applyFont="1" applyFill="1" applyBorder="1" applyAlignment="1">
      <alignment horizontal="center"/>
    </xf>
    <xf numFmtId="37" fontId="1" fillId="13" borderId="13" xfId="0" applyNumberFormat="1" applyFont="1" applyFill="1" applyBorder="1" applyAlignment="1">
      <alignment horizontal="center"/>
    </xf>
    <xf numFmtId="37" fontId="2" fillId="13" borderId="13" xfId="0" applyNumberFormat="1" applyFont="1" applyFill="1" applyBorder="1" applyAlignment="1">
      <alignment horizontal="center"/>
    </xf>
    <xf numFmtId="0" fontId="1" fillId="13" borderId="0" xfId="0" applyNumberFormat="1" applyFont="1" applyFill="1" applyBorder="1" applyAlignment="1" applyProtection="1">
      <alignment/>
      <protection locked="0"/>
    </xf>
    <xf numFmtId="37" fontId="1" fillId="13" borderId="19" xfId="0" applyNumberFormat="1" applyFont="1" applyFill="1" applyBorder="1" applyAlignment="1">
      <alignment horizontal="center"/>
    </xf>
    <xf numFmtId="37" fontId="1" fillId="44" borderId="19" xfId="0" applyNumberFormat="1" applyFont="1" applyFill="1" applyBorder="1" applyAlignment="1">
      <alignment horizontal="center"/>
    </xf>
    <xf numFmtId="37" fontId="1" fillId="13" borderId="12" xfId="0" applyNumberFormat="1" applyFont="1" applyFill="1" applyBorder="1" applyAlignment="1">
      <alignment horizontal="center"/>
    </xf>
    <xf numFmtId="37" fontId="2" fillId="13" borderId="12" xfId="0" applyNumberFormat="1" applyFont="1" applyFill="1" applyBorder="1" applyAlignment="1">
      <alignment horizontal="center"/>
    </xf>
    <xf numFmtId="37" fontId="1" fillId="45" borderId="0" xfId="0" applyNumberFormat="1" applyFont="1" applyFill="1" applyBorder="1" applyAlignment="1">
      <alignment horizontal="center"/>
    </xf>
    <xf numFmtId="37" fontId="1" fillId="45" borderId="0" xfId="0" applyNumberFormat="1" applyFont="1" applyFill="1" applyBorder="1" applyAlignment="1">
      <alignment/>
    </xf>
    <xf numFmtId="0" fontId="1" fillId="45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37" fontId="2" fillId="0" borderId="19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0" fontId="1" fillId="0" borderId="0" xfId="0" applyNumberFormat="1" applyFont="1" applyAlignment="1" applyProtection="1">
      <alignment horizontal="center"/>
      <protection/>
    </xf>
    <xf numFmtId="167" fontId="1" fillId="0" borderId="0" xfId="0" applyNumberFormat="1" applyFont="1" applyAlignment="1">
      <alignment horizontal="center"/>
    </xf>
    <xf numFmtId="176" fontId="1" fillId="0" borderId="0" xfId="42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0" fontId="1" fillId="0" borderId="0" xfId="66" applyNumberFormat="1" applyFont="1" applyAlignment="1">
      <alignment/>
    </xf>
    <xf numFmtId="169" fontId="1" fillId="0" borderId="0" xfId="66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66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 applyAlignment="1" applyProtection="1">
      <alignment horizontal="center"/>
      <protection/>
    </xf>
    <xf numFmtId="167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0" fontId="31" fillId="0" borderId="0" xfId="57">
      <alignment/>
      <protection/>
    </xf>
    <xf numFmtId="0" fontId="0" fillId="0" borderId="20" xfId="57" applyFont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37" fontId="2" fillId="0" borderId="11" xfId="0" applyNumberFormat="1" applyFont="1" applyFill="1" applyBorder="1" applyAlignment="1">
      <alignment horizontal="center" wrapText="1"/>
    </xf>
    <xf numFmtId="37" fontId="3" fillId="0" borderId="0" xfId="0" applyNumberFormat="1" applyFont="1" applyFill="1" applyAlignment="1">
      <alignment horizontal="center"/>
    </xf>
    <xf numFmtId="37" fontId="1" fillId="0" borderId="11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 applyProtection="1">
      <alignment horizontal="center"/>
      <protection/>
    </xf>
    <xf numFmtId="0" fontId="57" fillId="0" borderId="0" xfId="0" applyFont="1" applyAlignment="1">
      <alignment/>
    </xf>
    <xf numFmtId="0" fontId="1" fillId="0" borderId="0" xfId="61" applyFont="1" applyFill="1" applyAlignment="1">
      <alignment horizontal="center"/>
      <protection/>
    </xf>
    <xf numFmtId="164" fontId="57" fillId="0" borderId="0" xfId="0" applyNumberFormat="1" applyFont="1" applyFill="1" applyBorder="1" applyAlignment="1">
      <alignment/>
    </xf>
    <xf numFmtId="37" fontId="57" fillId="0" borderId="0" xfId="0" applyNumberFormat="1" applyFont="1" applyAlignment="1">
      <alignment/>
    </xf>
    <xf numFmtId="0" fontId="31" fillId="0" borderId="0" xfId="57" applyFill="1">
      <alignment/>
      <protection/>
    </xf>
    <xf numFmtId="0" fontId="31" fillId="0" borderId="0" xfId="57" applyFill="1" applyAlignment="1">
      <alignment horizontal="left"/>
      <protection/>
    </xf>
    <xf numFmtId="165" fontId="1" fillId="0" borderId="0" xfId="0" applyNumberFormat="1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39" fontId="1" fillId="0" borderId="0" xfId="0" applyNumberFormat="1" applyFont="1" applyAlignment="1">
      <alignment/>
    </xf>
    <xf numFmtId="0" fontId="2" fillId="46" borderId="0" xfId="0" applyFont="1" applyFill="1" applyAlignment="1">
      <alignment horizontal="center"/>
    </xf>
    <xf numFmtId="39" fontId="1" fillId="0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39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/>
    </xf>
    <xf numFmtId="184" fontId="1" fillId="0" borderId="0" xfId="0" applyNumberFormat="1" applyFont="1" applyAlignment="1">
      <alignment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47" borderId="0" xfId="0" applyFont="1" applyFill="1" applyAlignment="1">
      <alignment/>
    </xf>
    <xf numFmtId="39" fontId="1" fillId="47" borderId="0" xfId="0" applyNumberFormat="1" applyFont="1" applyFill="1" applyAlignment="1">
      <alignment/>
    </xf>
    <xf numFmtId="39" fontId="1" fillId="48" borderId="0" xfId="0" applyNumberFormat="1" applyFont="1" applyFill="1" applyAlignment="1">
      <alignment/>
    </xf>
    <xf numFmtId="0" fontId="1" fillId="47" borderId="0" xfId="0" applyFont="1" applyFill="1" applyAlignment="1">
      <alignment horizontal="center"/>
    </xf>
    <xf numFmtId="0" fontId="1" fillId="49" borderId="0" xfId="0" applyFont="1" applyFill="1" applyAlignment="1">
      <alignment horizontal="center"/>
    </xf>
    <xf numFmtId="37" fontId="1" fillId="47" borderId="0" xfId="0" applyNumberFormat="1" applyFont="1" applyFill="1" applyAlignment="1">
      <alignment/>
    </xf>
    <xf numFmtId="0" fontId="2" fillId="49" borderId="0" xfId="0" applyFont="1" applyFill="1" applyAlignment="1">
      <alignment/>
    </xf>
    <xf numFmtId="37" fontId="1" fillId="49" borderId="0" xfId="0" applyNumberFormat="1" applyFont="1" applyFill="1" applyAlignment="1">
      <alignment/>
    </xf>
    <xf numFmtId="185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31" fillId="0" borderId="0" xfId="58">
      <alignment/>
      <protection/>
    </xf>
    <xf numFmtId="0" fontId="0" fillId="0" borderId="0" xfId="61" applyFill="1" applyAlignment="1">
      <alignment horizontal="left"/>
      <protection/>
    </xf>
    <xf numFmtId="179" fontId="0" fillId="0" borderId="0" xfId="58" applyNumberFormat="1" applyFont="1" applyAlignment="1">
      <alignment horizontal="right"/>
      <protection/>
    </xf>
    <xf numFmtId="0" fontId="0" fillId="0" borderId="0" xfId="58" applyFont="1" applyAlignment="1">
      <alignment horizontal="left" indent="2"/>
      <protection/>
    </xf>
    <xf numFmtId="0" fontId="0" fillId="0" borderId="0" xfId="58" applyFont="1" applyAlignment="1">
      <alignment horizontal="left" indent="3"/>
      <protection/>
    </xf>
    <xf numFmtId="0" fontId="0" fillId="0" borderId="0" xfId="58" applyFont="1" applyAlignment="1">
      <alignment horizontal="left" indent="4"/>
      <protection/>
    </xf>
    <xf numFmtId="179" fontId="0" fillId="0" borderId="21" xfId="58" applyNumberFormat="1" applyFont="1" applyBorder="1" applyAlignment="1">
      <alignment horizontal="right"/>
      <protection/>
    </xf>
    <xf numFmtId="179" fontId="0" fillId="0" borderId="0" xfId="0" applyNumberFormat="1" applyAlignment="1">
      <alignment/>
    </xf>
    <xf numFmtId="166" fontId="1" fillId="0" borderId="0" xfId="0" applyNumberFormat="1" applyFont="1" applyFill="1" applyAlignment="1">
      <alignment horizontal="center"/>
    </xf>
    <xf numFmtId="179" fontId="0" fillId="0" borderId="0" xfId="57" applyNumberFormat="1" applyFont="1" applyAlignment="1">
      <alignment horizontal="right"/>
      <protection/>
    </xf>
    <xf numFmtId="0" fontId="0" fillId="0" borderId="0" xfId="57" applyFont="1" applyAlignment="1">
      <alignment horizontal="left" indent="2"/>
      <protection/>
    </xf>
    <xf numFmtId="0" fontId="13" fillId="0" borderId="0" xfId="57" applyFont="1" applyAlignment="1">
      <alignment horizontal="left" indent="1"/>
      <protection/>
    </xf>
    <xf numFmtId="179" fontId="13" fillId="0" borderId="22" xfId="57" applyNumberFormat="1" applyFont="1" applyBorder="1" applyAlignment="1">
      <alignment horizontal="right"/>
      <protection/>
    </xf>
    <xf numFmtId="0" fontId="0" fillId="0" borderId="0" xfId="58" applyFont="1" applyAlignment="1">
      <alignment horizontal="left" indent="2"/>
      <protection/>
    </xf>
    <xf numFmtId="0" fontId="0" fillId="0" borderId="0" xfId="58" applyFont="1" applyAlignment="1">
      <alignment horizontal="left" indent="3"/>
      <protection/>
    </xf>
    <xf numFmtId="0" fontId="0" fillId="0" borderId="0" xfId="58" applyFont="1" applyAlignment="1">
      <alignment horizontal="left" indent="4"/>
      <protection/>
    </xf>
    <xf numFmtId="179" fontId="0" fillId="0" borderId="21" xfId="57" applyNumberFormat="1" applyFont="1" applyBorder="1" applyAlignment="1">
      <alignment horizontal="right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left" indent="1"/>
      <protection/>
    </xf>
    <xf numFmtId="0" fontId="0" fillId="0" borderId="20" xfId="57" applyFont="1" applyBorder="1" applyAlignment="1">
      <alignment horizontal="center" vertical="center" wrapText="1"/>
      <protection/>
    </xf>
    <xf numFmtId="14" fontId="14" fillId="0" borderId="23" xfId="57" applyNumberFormat="1" applyFont="1" applyFill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8" fillId="0" borderId="0" xfId="62" applyFont="1" applyFill="1" applyBorder="1" applyAlignment="1">
      <alignment horizontal="center" wrapText="1"/>
      <protection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37" fontId="12" fillId="0" borderId="0" xfId="0" applyNumberFormat="1" applyFont="1" applyFill="1" applyBorder="1" applyAlignment="1">
      <alignment horizontal="center" vertical="center" wrapText="1"/>
    </xf>
    <xf numFmtId="0" fontId="0" fillId="0" borderId="20" xfId="57" applyFont="1" applyBorder="1" applyAlignment="1">
      <alignment horizontal="left" vertical="center" wrapText="1"/>
      <protection/>
    </xf>
    <xf numFmtId="0" fontId="0" fillId="0" borderId="20" xfId="57" applyFont="1" applyFill="1" applyBorder="1" applyAlignment="1">
      <alignment horizontal="center" vertical="center" wrapText="1"/>
      <protection/>
    </xf>
    <xf numFmtId="37" fontId="2" fillId="0" borderId="0" xfId="0" applyNumberFormat="1" applyFont="1" applyFill="1" applyAlignment="1">
      <alignment/>
    </xf>
    <xf numFmtId="0" fontId="38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_~3893713" xfId="62"/>
    <cellStyle name="Note" xfId="63"/>
    <cellStyle name="Note 2" xfId="64"/>
    <cellStyle name="Output" xfId="65"/>
    <cellStyle name="Percent" xfId="66"/>
    <cellStyle name="Percent 2" xfId="67"/>
    <cellStyle name="Percent 3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22.7109375" style="21" customWidth="1"/>
    <col min="2" max="2" width="14.7109375" style="25" customWidth="1"/>
    <col min="3" max="3" width="14.7109375" style="21" customWidth="1"/>
    <col min="4" max="4" width="14.7109375" style="25" customWidth="1"/>
    <col min="5" max="5" width="14.7109375" style="195" customWidth="1"/>
    <col min="6" max="6" width="14.7109375" style="25" customWidth="1"/>
    <col min="7" max="16384" width="9.140625" style="21" customWidth="1"/>
  </cols>
  <sheetData>
    <row r="1" spans="1:6" s="8" customFormat="1" ht="15">
      <c r="A1" s="268" t="s">
        <v>1115</v>
      </c>
      <c r="B1" s="7"/>
      <c r="D1" s="7"/>
      <c r="E1" s="267"/>
      <c r="F1" s="7"/>
    </row>
    <row r="2" spans="1:6" s="8" customFormat="1" ht="15">
      <c r="A2" s="268" t="s">
        <v>1116</v>
      </c>
      <c r="B2" s="7"/>
      <c r="D2" s="7"/>
      <c r="E2" s="267"/>
      <c r="F2" s="7"/>
    </row>
    <row r="3" spans="2:6" s="8" customFormat="1" ht="9.75">
      <c r="B3" s="7"/>
      <c r="D3" s="7"/>
      <c r="E3" s="267"/>
      <c r="F3" s="7"/>
    </row>
    <row r="4" ht="9.75">
      <c r="A4" s="8" t="s">
        <v>734</v>
      </c>
    </row>
    <row r="5" spans="1:6" ht="9.75">
      <c r="A5" s="21" t="s">
        <v>210</v>
      </c>
      <c r="B5" s="23"/>
      <c r="D5" s="23"/>
      <c r="E5" s="196"/>
      <c r="F5" s="23"/>
    </row>
    <row r="6" spans="1:6" ht="30.75" thickBot="1">
      <c r="A6" s="22" t="s">
        <v>234</v>
      </c>
      <c r="B6" s="22" t="s">
        <v>529</v>
      </c>
      <c r="C6" s="22" t="s">
        <v>263</v>
      </c>
      <c r="D6" s="22" t="s">
        <v>735</v>
      </c>
      <c r="E6" s="197" t="s">
        <v>733</v>
      </c>
      <c r="F6" s="22" t="s">
        <v>737</v>
      </c>
    </row>
    <row r="7" spans="2:6" ht="9.75">
      <c r="B7" s="24"/>
      <c r="D7" s="24"/>
      <c r="E7" s="198"/>
      <c r="F7" s="24"/>
    </row>
    <row r="8" spans="1:6" ht="9.75">
      <c r="A8" s="21" t="s">
        <v>236</v>
      </c>
      <c r="B8" s="23">
        <f>'2013 BM Detail'!J27/1000</f>
        <v>85366.025</v>
      </c>
      <c r="C8" s="213">
        <f>'2018 TY Compound Multiplier'!$E$41</f>
        <v>1.0913842009741728</v>
      </c>
      <c r="D8" s="196">
        <f>B8*C8</f>
        <v>93167.13098496625</v>
      </c>
      <c r="E8" s="196">
        <f>'2018 BM Detail'!G26/1000</f>
        <v>83020.53791000001</v>
      </c>
      <c r="F8" s="10">
        <f>E8-D8</f>
        <v>-10146.593074966237</v>
      </c>
    </row>
    <row r="9" spans="2:6" ht="9.75">
      <c r="B9" s="23"/>
      <c r="C9" s="169"/>
      <c r="D9" s="196"/>
      <c r="E9" s="196"/>
      <c r="F9" s="10"/>
    </row>
    <row r="10" spans="1:6" ht="9.75">
      <c r="A10" s="21" t="s">
        <v>237</v>
      </c>
      <c r="B10" s="23">
        <f>'2013 BM Detail'!J57/1000</f>
        <v>406556.71379000007</v>
      </c>
      <c r="C10" s="213">
        <f>'2018 TY Compound Multiplier'!$E$41</f>
        <v>1.0913842009741728</v>
      </c>
      <c r="D10" s="196">
        <f>B10*C10</f>
        <v>443709.57423038466</v>
      </c>
      <c r="E10" s="196">
        <f>'2018 BM Detail'!G51/1000</f>
        <v>379497.20376999996</v>
      </c>
      <c r="F10" s="10">
        <f>E10-D10</f>
        <v>-64212.3704603847</v>
      </c>
    </row>
    <row r="11" spans="2:6" ht="9.75">
      <c r="B11" s="23"/>
      <c r="C11" s="169"/>
      <c r="D11" s="196"/>
      <c r="E11" s="196"/>
      <c r="F11" s="10"/>
    </row>
    <row r="12" spans="1:6" ht="9.75">
      <c r="A12" s="21" t="s">
        <v>52</v>
      </c>
      <c r="B12" s="23">
        <f>'2013 BM Detail'!J81/1000</f>
        <v>161143.40494</v>
      </c>
      <c r="C12" s="213">
        <f>'2018 TY Compound Multiplier'!$E$41</f>
        <v>1.0913842009741728</v>
      </c>
      <c r="D12" s="196">
        <f>B12*C12</f>
        <v>175869.36624269947</v>
      </c>
      <c r="E12" s="196">
        <f>'2018 BM Detail'!G76/1000</f>
        <v>158980.12558000002</v>
      </c>
      <c r="F12" s="10">
        <f>E12-D12</f>
        <v>-16889.24066269945</v>
      </c>
    </row>
    <row r="13" spans="2:6" ht="9.75">
      <c r="B13" s="23"/>
      <c r="C13" s="169"/>
      <c r="D13" s="196"/>
      <c r="E13" s="196"/>
      <c r="F13" s="10"/>
    </row>
    <row r="14" spans="1:6" ht="9.75">
      <c r="A14" s="21" t="s">
        <v>70</v>
      </c>
      <c r="B14" s="23">
        <f>'2013 BM Detail'!J93/1000</f>
        <v>6299.19356</v>
      </c>
      <c r="C14" s="213">
        <f>'2018 TY Compound Multiplier'!$E$41</f>
        <v>1.0913842009741728</v>
      </c>
      <c r="D14" s="196">
        <f>B14*C14</f>
        <v>6874.840330262255</v>
      </c>
      <c r="E14" s="196">
        <f>'2018 BM Detail'!G85/1000</f>
        <v>6734.237370000001</v>
      </c>
      <c r="F14" s="10">
        <f>E14-D14</f>
        <v>-140.60296026225387</v>
      </c>
    </row>
    <row r="15" spans="2:6" ht="9.75">
      <c r="B15" s="23"/>
      <c r="C15" s="169"/>
      <c r="D15" s="196"/>
      <c r="E15" s="196"/>
      <c r="F15" s="10"/>
    </row>
    <row r="16" spans="1:6" ht="9.75">
      <c r="A16" s="21" t="s">
        <v>83</v>
      </c>
      <c r="B16" s="23">
        <f>'2013 BM Detail'!J117/1000</f>
        <v>47189.46297000001</v>
      </c>
      <c r="C16" s="213">
        <f>'2018 TY Compound Multiplier'!$I$41</f>
        <v>1.1769966536443537</v>
      </c>
      <c r="D16" s="196">
        <f>B16*C16</f>
        <v>55541.840002964156</v>
      </c>
      <c r="E16" s="196">
        <f>'2018 BM Detail'!G105/1000</f>
        <v>49197.03924</v>
      </c>
      <c r="F16" s="10">
        <f>E16-D16</f>
        <v>-6344.800762964158</v>
      </c>
    </row>
    <row r="17" spans="2:6" ht="9.75">
      <c r="B17" s="23"/>
      <c r="C17" s="169"/>
      <c r="D17" s="196"/>
      <c r="E17" s="196"/>
      <c r="F17" s="10"/>
    </row>
    <row r="18" spans="1:6" ht="9.75">
      <c r="A18" s="21" t="s">
        <v>105</v>
      </c>
      <c r="B18" s="23">
        <f>'2013 BM Detail'!J142/1000</f>
        <v>286102.48292999994</v>
      </c>
      <c r="C18" s="213">
        <f>'2018 TY Compound Multiplier'!$I$41</f>
        <v>1.1769966536443537</v>
      </c>
      <c r="D18" s="196">
        <f>B18*C18</f>
        <v>336741.66500795074</v>
      </c>
      <c r="E18" s="196">
        <f>'2018 BM Detail'!G130/1000</f>
        <v>317204.98108000006</v>
      </c>
      <c r="F18" s="10">
        <f>E18-D18</f>
        <v>-19536.683927950682</v>
      </c>
    </row>
    <row r="19" spans="2:6" ht="9.75">
      <c r="B19" s="23"/>
      <c r="C19" s="169"/>
      <c r="D19" s="196"/>
      <c r="E19" s="196"/>
      <c r="F19" s="10"/>
    </row>
    <row r="20" spans="1:6" ht="9.75">
      <c r="A20" s="21" t="s">
        <v>129</v>
      </c>
      <c r="B20" s="23">
        <f>'2013 BM Detail'!J152/1000</f>
        <v>149953.77086000002</v>
      </c>
      <c r="C20" s="213">
        <f>'2018 TY Compound Multiplier'!$I$41</f>
        <v>1.1769966536443537</v>
      </c>
      <c r="D20" s="196">
        <f>B20*C20</f>
        <v>176495.0865035722</v>
      </c>
      <c r="E20" s="196">
        <f>'2018 BM Detail'!G139/1000</f>
        <v>109545.52550000003</v>
      </c>
      <c r="F20" s="10">
        <f>E20-D20</f>
        <v>-66949.56100357218</v>
      </c>
    </row>
    <row r="21" spans="2:6" ht="9.75">
      <c r="B21" s="23"/>
      <c r="C21" s="169"/>
      <c r="D21" s="196"/>
      <c r="E21" s="196"/>
      <c r="F21" s="10"/>
    </row>
    <row r="22" spans="1:6" ht="9.75">
      <c r="A22" s="21" t="s">
        <v>137</v>
      </c>
      <c r="B22" s="23">
        <f>'2013 BM Detail'!J164/1000</f>
        <v>12851.16955</v>
      </c>
      <c r="C22" s="213">
        <f>'2018 TY Compound Multiplier'!$I$41</f>
        <v>1.1769966536443537</v>
      </c>
      <c r="D22" s="196">
        <f>B22*C22</f>
        <v>15125.783555766215</v>
      </c>
      <c r="E22" s="196">
        <f>'2018 BM Detail'!G151/1000</f>
        <v>13465.341330000001</v>
      </c>
      <c r="F22" s="10">
        <f>E22-D22</f>
        <v>-1660.4422257662136</v>
      </c>
    </row>
    <row r="23" spans="2:6" ht="9.75">
      <c r="B23" s="23"/>
      <c r="C23" s="169"/>
      <c r="D23" s="196"/>
      <c r="E23" s="196"/>
      <c r="F23" s="10"/>
    </row>
    <row r="24" spans="1:6" ht="9.75">
      <c r="A24" s="21" t="s">
        <v>147</v>
      </c>
      <c r="B24" s="23">
        <f>'2013 BM Detail'!J170/1000</f>
        <v>15169.93861</v>
      </c>
      <c r="C24" s="213">
        <f>'2018 TY Compound Multiplier'!$I$41</f>
        <v>1.1769966536443537</v>
      </c>
      <c r="D24" s="196">
        <f>B24*C24</f>
        <v>17854.966979960278</v>
      </c>
      <c r="E24" s="196">
        <f>'2018 BM Detail'!G156/1000</f>
        <v>15746.958650000002</v>
      </c>
      <c r="F24" s="10">
        <f>E24-D24</f>
        <v>-2108.0083299602757</v>
      </c>
    </row>
    <row r="25" spans="2:6" ht="9.75">
      <c r="B25" s="23"/>
      <c r="C25" s="169"/>
      <c r="D25" s="196"/>
      <c r="E25" s="196"/>
      <c r="F25" s="10"/>
    </row>
    <row r="26" spans="1:6" ht="10.5" thickBot="1">
      <c r="A26" s="21" t="s">
        <v>238</v>
      </c>
      <c r="B26" s="48">
        <f>'2013 BM Detail'!J215/1000</f>
        <v>388309.13271032856</v>
      </c>
      <c r="C26" s="213">
        <f>'2018 TY Compound Multiplier'!$I$41</f>
        <v>1.1769966536443537</v>
      </c>
      <c r="D26" s="199">
        <f>B26*C26</f>
        <v>457038.54977959796</v>
      </c>
      <c r="E26" s="199">
        <f>'2018 BM Detail'!G190/1000</f>
        <v>319547.685861318</v>
      </c>
      <c r="F26" s="63">
        <f>E26-D26</f>
        <v>-137490.86391827994</v>
      </c>
    </row>
    <row r="27" spans="2:6" ht="9.75">
      <c r="B27" s="49"/>
      <c r="C27" s="169"/>
      <c r="D27" s="200"/>
      <c r="E27" s="200"/>
      <c r="F27" s="49"/>
    </row>
    <row r="28" spans="1:6" ht="9.75">
      <c r="A28" s="21" t="s">
        <v>239</v>
      </c>
      <c r="B28" s="49">
        <f>SUM(B8:B27)</f>
        <v>1558941.2949203288</v>
      </c>
      <c r="C28" s="169"/>
      <c r="D28" s="201">
        <f>SUM(D8:D27)</f>
        <v>1778418.803618124</v>
      </c>
      <c r="E28" s="201">
        <f>SUM(E8:E27)</f>
        <v>1452939.636291318</v>
      </c>
      <c r="F28" s="50">
        <f>SUM(F8:F27)</f>
        <v>-325479.1673268061</v>
      </c>
    </row>
    <row r="29" spans="3:4" ht="9.75">
      <c r="C29" s="205"/>
      <c r="D29" s="195"/>
    </row>
    <row r="30" spans="1:6" ht="9.75">
      <c r="A30" s="8" t="s">
        <v>736</v>
      </c>
      <c r="C30" s="205"/>
      <c r="D30" s="191">
        <f>D28/B28-1</f>
        <v>0.14078625629646413</v>
      </c>
      <c r="E30" s="202"/>
      <c r="F30" s="42"/>
    </row>
    <row r="31" spans="1:6" ht="9.75">
      <c r="A31" s="8" t="s">
        <v>264</v>
      </c>
      <c r="C31" s="205"/>
      <c r="D31" s="191">
        <f>(1+D30)^(1/5)-1</f>
        <v>0.026693602973679065</v>
      </c>
      <c r="E31" s="202"/>
      <c r="F31" s="42"/>
    </row>
    <row r="35" spans="2:6" ht="9.75">
      <c r="B35" s="23"/>
      <c r="D35" s="23"/>
      <c r="E35" s="196"/>
      <c r="F35" s="23"/>
    </row>
    <row r="36" spans="2:6" ht="9.75">
      <c r="B36" s="23"/>
      <c r="D36" s="23"/>
      <c r="E36" s="196"/>
      <c r="F36" s="23"/>
    </row>
    <row r="37" spans="2:6" ht="9.75">
      <c r="B37" s="24"/>
      <c r="D37" s="24"/>
      <c r="E37" s="198"/>
      <c r="F37" s="24"/>
    </row>
    <row r="38" spans="2:6" ht="9.75">
      <c r="B38" s="28"/>
      <c r="D38" s="28"/>
      <c r="E38" s="203"/>
      <c r="F38" s="28"/>
    </row>
    <row r="42" spans="1:6" ht="12.75">
      <c r="A42"/>
      <c r="B42"/>
      <c r="C42"/>
      <c r="D42"/>
      <c r="E42" s="204"/>
      <c r="F42"/>
    </row>
    <row r="43" spans="1:6" ht="12.75">
      <c r="A43"/>
      <c r="B43"/>
      <c r="C43"/>
      <c r="D43"/>
      <c r="E43" s="204"/>
      <c r="F43"/>
    </row>
    <row r="44" spans="1:6" ht="12.75">
      <c r="A44"/>
      <c r="B44"/>
      <c r="C44"/>
      <c r="D44"/>
      <c r="E44" s="204"/>
      <c r="F44"/>
    </row>
    <row r="45" spans="1:6" ht="12.75">
      <c r="A45"/>
      <c r="B45"/>
      <c r="C45"/>
      <c r="D45"/>
      <c r="E45" s="204"/>
      <c r="F45"/>
    </row>
    <row r="46" spans="1:6" ht="12.75">
      <c r="A46"/>
      <c r="B46"/>
      <c r="C46"/>
      <c r="D46"/>
      <c r="E46" s="204"/>
      <c r="F46"/>
    </row>
    <row r="47" spans="1:6" ht="12.75">
      <c r="A47"/>
      <c r="B47"/>
      <c r="C47"/>
      <c r="D47"/>
      <c r="E47" s="204"/>
      <c r="F47"/>
    </row>
    <row r="48" spans="1:6" ht="12.75">
      <c r="A48"/>
      <c r="B48"/>
      <c r="C48"/>
      <c r="D48"/>
      <c r="E48" s="204"/>
      <c r="F48"/>
    </row>
    <row r="49" spans="1:6" ht="12.75">
      <c r="A49"/>
      <c r="B49"/>
      <c r="C49"/>
      <c r="D49"/>
      <c r="E49" s="204"/>
      <c r="F49"/>
    </row>
    <row r="50" spans="1:6" ht="12.75">
      <c r="A50"/>
      <c r="B50"/>
      <c r="C50"/>
      <c r="D50"/>
      <c r="E50" s="204"/>
      <c r="F50"/>
    </row>
    <row r="51" ht="9.75">
      <c r="F51" s="7"/>
    </row>
    <row r="52" ht="9.75">
      <c r="F52" s="7"/>
    </row>
    <row r="53" ht="9.75">
      <c r="F53" s="7"/>
    </row>
    <row r="54" ht="9.75">
      <c r="F54" s="7"/>
    </row>
    <row r="55" ht="9.75">
      <c r="F55" s="7"/>
    </row>
    <row r="56" ht="9.75">
      <c r="F56" s="7"/>
    </row>
    <row r="57" ht="9.75">
      <c r="F57" s="7"/>
    </row>
    <row r="58" ht="9.75">
      <c r="F58" s="7"/>
    </row>
    <row r="59" ht="9.75">
      <c r="F59" s="7"/>
    </row>
    <row r="60" ht="9.75">
      <c r="F60" s="7"/>
    </row>
    <row r="61" ht="9.75">
      <c r="F61" s="7"/>
    </row>
    <row r="62" spans="1:9" ht="12.75">
      <c r="A62"/>
      <c r="B62"/>
      <c r="C62"/>
      <c r="D62"/>
      <c r="E62" s="204"/>
      <c r="F62"/>
      <c r="G62"/>
      <c r="H62"/>
      <c r="I62"/>
    </row>
    <row r="63" spans="1:9" ht="12.75">
      <c r="A63"/>
      <c r="B63"/>
      <c r="C63"/>
      <c r="D63"/>
      <c r="E63" s="204"/>
      <c r="F63"/>
      <c r="G63"/>
      <c r="H63"/>
      <c r="I63"/>
    </row>
    <row r="64" spans="1:9" ht="12.75">
      <c r="A64"/>
      <c r="B64"/>
      <c r="C64"/>
      <c r="D64"/>
      <c r="E64" s="204"/>
      <c r="F64"/>
      <c r="G64"/>
      <c r="H64"/>
      <c r="I64"/>
    </row>
    <row r="65" spans="1:9" ht="12.75">
      <c r="A65"/>
      <c r="B65"/>
      <c r="C65"/>
      <c r="D65"/>
      <c r="E65" s="204"/>
      <c r="F65"/>
      <c r="G65"/>
      <c r="H65"/>
      <c r="I65"/>
    </row>
    <row r="66" spans="1:9" ht="12.75">
      <c r="A66"/>
      <c r="B66"/>
      <c r="C66"/>
      <c r="D66"/>
      <c r="E66" s="204"/>
      <c r="F66"/>
      <c r="G66"/>
      <c r="H66"/>
      <c r="I66"/>
    </row>
    <row r="67" spans="1:9" ht="12.75">
      <c r="A67"/>
      <c r="B67"/>
      <c r="C67"/>
      <c r="D67"/>
      <c r="E67" s="204"/>
      <c r="F67"/>
      <c r="G67"/>
      <c r="H67"/>
      <c r="I67"/>
    </row>
    <row r="68" spans="1:9" ht="12.75">
      <c r="A68"/>
      <c r="B68"/>
      <c r="C68"/>
      <c r="D68"/>
      <c r="E68" s="204"/>
      <c r="F68"/>
      <c r="G68"/>
      <c r="H68"/>
      <c r="I68"/>
    </row>
    <row r="69" spans="1:9" ht="12.75">
      <c r="A69"/>
      <c r="B69"/>
      <c r="C69"/>
      <c r="D69"/>
      <c r="E69" s="204"/>
      <c r="F69"/>
      <c r="G69"/>
      <c r="H69"/>
      <c r="I69"/>
    </row>
    <row r="70" spans="1:9" ht="12.75">
      <c r="A70"/>
      <c r="B70"/>
      <c r="C70"/>
      <c r="D70"/>
      <c r="E70" s="204"/>
      <c r="F70"/>
      <c r="G70"/>
      <c r="H70"/>
      <c r="I70"/>
    </row>
    <row r="71" spans="4:6" ht="409.5">
      <c r="D71" s="42"/>
      <c r="E71" s="202"/>
      <c r="F71" s="42"/>
    </row>
    <row r="72" spans="2:6" ht="409.5">
      <c r="B72" s="21"/>
      <c r="D72" s="21"/>
      <c r="E72" s="205"/>
      <c r="F72" s="21"/>
    </row>
    <row r="76" spans="2:6" ht="409.5">
      <c r="B76" s="30"/>
      <c r="D76" s="30"/>
      <c r="E76" s="206"/>
      <c r="F76" s="30"/>
    </row>
    <row r="77" spans="2:6" ht="409.5">
      <c r="B77" s="30"/>
      <c r="D77" s="30"/>
      <c r="E77" s="206"/>
      <c r="F77" s="30"/>
    </row>
    <row r="78" spans="2:6" ht="9.75">
      <c r="B78" s="30"/>
      <c r="D78" s="30"/>
      <c r="E78" s="206"/>
      <c r="F78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2" sqref="B1:B2"/>
    </sheetView>
  </sheetViews>
  <sheetFormatPr defaultColWidth="9.140625" defaultRowHeight="12.75"/>
  <cols>
    <col min="1" max="1" width="3.7109375" style="11" customWidth="1"/>
    <col min="2" max="2" width="33.8515625" style="3" customWidth="1"/>
    <col min="3" max="3" width="5.7109375" style="11" bestFit="1" customWidth="1"/>
    <col min="4" max="4" width="10.7109375" style="4" customWidth="1"/>
    <col min="5" max="5" width="9.7109375" style="4" customWidth="1"/>
    <col min="6" max="6" width="8.7109375" style="14" customWidth="1"/>
    <col min="7" max="7" width="10.7109375" style="4" customWidth="1"/>
    <col min="8" max="8" width="8.7109375" style="11" customWidth="1"/>
    <col min="9" max="9" width="40.421875" style="3" customWidth="1"/>
    <col min="10" max="10" width="3.8515625" style="3" customWidth="1"/>
    <col min="11" max="16384" width="9.140625" style="3" customWidth="1"/>
  </cols>
  <sheetData>
    <row r="1" ht="15">
      <c r="B1" s="268" t="s">
        <v>1121</v>
      </c>
    </row>
    <row r="2" ht="15">
      <c r="B2" s="268" t="s">
        <v>1116</v>
      </c>
    </row>
    <row r="5" spans="1:9" ht="20.25">
      <c r="A5" s="9" t="s">
        <v>202</v>
      </c>
      <c r="B5" s="9" t="s">
        <v>201</v>
      </c>
      <c r="C5" s="47" t="s">
        <v>272</v>
      </c>
      <c r="D5" s="10" t="s">
        <v>203</v>
      </c>
      <c r="E5" s="10" t="s">
        <v>204</v>
      </c>
      <c r="F5" s="13" t="s">
        <v>205</v>
      </c>
      <c r="G5" s="10" t="s">
        <v>206</v>
      </c>
      <c r="H5" s="9" t="s">
        <v>218</v>
      </c>
      <c r="I5" s="8" t="s">
        <v>207</v>
      </c>
    </row>
    <row r="7" spans="1:4" ht="9.75">
      <c r="A7" s="9">
        <f>'KO 16 adj 2013 TY'!D53</f>
        <v>2</v>
      </c>
      <c r="B7" s="8" t="s">
        <v>510</v>
      </c>
      <c r="C7" s="9"/>
      <c r="D7" s="4" t="s">
        <v>210</v>
      </c>
    </row>
    <row r="8" spans="2:11" ht="9.75">
      <c r="B8" s="3" t="s">
        <v>507</v>
      </c>
      <c r="C8" s="11">
        <v>926</v>
      </c>
      <c r="D8" s="4">
        <f>'KO 16 adj 2013 TY'!G53*1000</f>
        <v>-2901841.7960536713</v>
      </c>
      <c r="E8" s="4">
        <f>'KO 16 adj 2013 TY'!E53*1000</f>
        <v>-2946638.0911</v>
      </c>
      <c r="F8" s="14">
        <f>'KO 16 adj 2013 TY'!F53</f>
        <v>0.98479749</v>
      </c>
      <c r="G8" s="4">
        <f>E8</f>
        <v>-2946638.0911</v>
      </c>
      <c r="H8" s="11" t="s">
        <v>219</v>
      </c>
      <c r="I8" s="3" t="s">
        <v>515</v>
      </c>
      <c r="K8" s="69" t="str">
        <f>'KO 16 adj 2013 TY'!I53</f>
        <v>INC526100</v>
      </c>
    </row>
    <row r="9" ht="9.75">
      <c r="I9" s="3" t="s">
        <v>508</v>
      </c>
    </row>
    <row r="10" ht="9.75">
      <c r="I10" s="3" t="s">
        <v>532</v>
      </c>
    </row>
    <row r="11" spans="1:3" ht="9.75">
      <c r="A11" s="9">
        <f>'KO 16 adj 2013 TY'!D56</f>
        <v>4</v>
      </c>
      <c r="B11" s="8" t="s">
        <v>511</v>
      </c>
      <c r="C11" s="9"/>
    </row>
    <row r="12" spans="2:9" ht="9.75">
      <c r="B12" s="3" t="s">
        <v>505</v>
      </c>
      <c r="C12" s="11" t="s">
        <v>509</v>
      </c>
      <c r="D12" s="4">
        <f>'KO 16 adj 2013 TY'!G20*1000</f>
        <v>91889.3100001812</v>
      </c>
      <c r="E12" s="4">
        <v>0</v>
      </c>
      <c r="G12" s="4">
        <v>0</v>
      </c>
      <c r="H12" s="11" t="s">
        <v>219</v>
      </c>
      <c r="I12" s="3" t="s">
        <v>249</v>
      </c>
    </row>
    <row r="13" ht="9.75">
      <c r="I13" s="3" t="s">
        <v>512</v>
      </c>
    </row>
    <row r="14" ht="9.75">
      <c r="I14" s="3" t="s">
        <v>506</v>
      </c>
    </row>
    <row r="16" spans="1:9" s="71" customFormat="1" ht="9.75">
      <c r="A16" s="167">
        <f>'KO 16 adj 2013 TY'!D65</f>
        <v>10</v>
      </c>
      <c r="B16" s="168" t="s">
        <v>523</v>
      </c>
      <c r="C16" s="169"/>
      <c r="D16" s="58"/>
      <c r="E16" s="58"/>
      <c r="F16" s="170"/>
      <c r="G16" s="58"/>
      <c r="H16" s="52"/>
      <c r="I16" s="71" t="s">
        <v>210</v>
      </c>
    </row>
    <row r="17" spans="1:9" s="71" customFormat="1" ht="9.75">
      <c r="A17" s="52"/>
      <c r="B17" s="71" t="s">
        <v>505</v>
      </c>
      <c r="C17" s="52" t="s">
        <v>509</v>
      </c>
      <c r="D17" s="58">
        <f>'KO 16 adj 2013 TY'!G65*1000</f>
        <v>6081439.063788961</v>
      </c>
      <c r="E17" s="58">
        <v>0</v>
      </c>
      <c r="F17" s="170"/>
      <c r="G17" s="58">
        <v>0</v>
      </c>
      <c r="H17" s="52" t="s">
        <v>219</v>
      </c>
      <c r="I17" s="3" t="s">
        <v>249</v>
      </c>
    </row>
    <row r="18" spans="1:9" s="71" customFormat="1" ht="9.75">
      <c r="A18" s="52"/>
      <c r="B18" s="71" t="s">
        <v>217</v>
      </c>
      <c r="C18" s="92"/>
      <c r="D18" s="69"/>
      <c r="E18" s="69"/>
      <c r="F18" s="171"/>
      <c r="G18" s="69"/>
      <c r="H18" s="92"/>
      <c r="I18" s="71" t="s">
        <v>524</v>
      </c>
    </row>
    <row r="19" spans="1:9" s="71" customFormat="1" ht="9.75">
      <c r="A19" s="52"/>
      <c r="C19" s="92"/>
      <c r="D19" s="69"/>
      <c r="E19" s="69"/>
      <c r="F19" s="171"/>
      <c r="G19" s="69"/>
      <c r="H19" s="92"/>
      <c r="I19" s="71" t="s">
        <v>525</v>
      </c>
    </row>
    <row r="20" spans="1:9" s="71" customFormat="1" ht="9.75">
      <c r="A20" s="52"/>
      <c r="C20" s="92"/>
      <c r="D20" s="69"/>
      <c r="E20" s="69"/>
      <c r="F20" s="171"/>
      <c r="G20" s="69"/>
      <c r="H20" s="92"/>
      <c r="I20" s="71" t="s">
        <v>526</v>
      </c>
    </row>
    <row r="21" spans="1:9" s="71" customFormat="1" ht="9.75">
      <c r="A21" s="52"/>
      <c r="C21" s="52"/>
      <c r="D21" s="58"/>
      <c r="E21" s="58"/>
      <c r="F21" s="170"/>
      <c r="G21" s="58"/>
      <c r="H21" s="52"/>
      <c r="I21" s="71" t="s">
        <v>506</v>
      </c>
    </row>
    <row r="22" spans="1:8" s="71" customFormat="1" ht="9.75">
      <c r="A22" s="52"/>
      <c r="C22" s="52"/>
      <c r="D22" s="58"/>
      <c r="E22" s="58"/>
      <c r="F22" s="170"/>
      <c r="G22" s="58"/>
      <c r="H22" s="52"/>
    </row>
    <row r="23" spans="1:3" ht="9.75">
      <c r="A23" s="9">
        <f>'KO 16 adj 2013 TY'!D63</f>
        <v>14</v>
      </c>
      <c r="B23" s="168" t="s">
        <v>518</v>
      </c>
      <c r="C23" s="9"/>
    </row>
    <row r="24" spans="2:9" ht="9.75">
      <c r="B24" s="3" t="s">
        <v>514</v>
      </c>
      <c r="C24" s="11">
        <v>920</v>
      </c>
      <c r="D24" s="4">
        <f>'KO 16 adj 2013 TY'!G63*1000</f>
        <v>949471.8192362101</v>
      </c>
      <c r="E24" s="4">
        <f>'KO 16 adj 2013 TY'!E63*1000</f>
        <v>964129</v>
      </c>
      <c r="F24" s="14">
        <f>'KO 16 adj 2013 TY'!F63</f>
        <v>0.98479749</v>
      </c>
      <c r="G24" s="4">
        <f>E24</f>
        <v>964129</v>
      </c>
      <c r="H24" s="11" t="s">
        <v>219</v>
      </c>
      <c r="I24" s="3" t="s">
        <v>249</v>
      </c>
    </row>
    <row r="25" spans="9:11" ht="9.75">
      <c r="I25" s="3" t="s">
        <v>519</v>
      </c>
      <c r="K25" s="4" t="str">
        <f>'KO 16 adj 2013 TY'!I63</f>
        <v>INC520010</v>
      </c>
    </row>
    <row r="26" ht="9.75">
      <c r="I26" s="3" t="s">
        <v>520</v>
      </c>
    </row>
    <row r="27" ht="9.75">
      <c r="I27" s="3" t="s">
        <v>521</v>
      </c>
    </row>
    <row r="28" ht="9.75">
      <c r="I28" s="3" t="s">
        <v>522</v>
      </c>
    </row>
    <row r="29" ht="9.75">
      <c r="I29" s="3" t="s">
        <v>533</v>
      </c>
    </row>
    <row r="30" ht="9.75">
      <c r="I30" s="3" t="s">
        <v>534</v>
      </c>
    </row>
    <row r="31" spans="1:3" ht="9.75">
      <c r="A31" s="9">
        <f>'KO 16 adj 2013 TY'!D60</f>
        <v>15</v>
      </c>
      <c r="B31" s="8" t="s">
        <v>513</v>
      </c>
      <c r="C31" s="9"/>
    </row>
    <row r="32" spans="1:9" ht="9.75">
      <c r="A32" s="9"/>
      <c r="B32" s="8"/>
      <c r="C32" s="9"/>
      <c r="I32" s="3" t="s">
        <v>249</v>
      </c>
    </row>
    <row r="33" spans="2:11" ht="9.75">
      <c r="B33" s="3" t="s">
        <v>514</v>
      </c>
      <c r="C33" s="11">
        <v>920</v>
      </c>
      <c r="D33" s="4">
        <f>'KO 16 adj 2013 TY'!G60*1000</f>
        <v>-730908.2559566571</v>
      </c>
      <c r="E33" s="4">
        <f>'KO 16 adj 2013 TY'!E60*1000</f>
        <v>-742191.4285714285</v>
      </c>
      <c r="F33" s="14">
        <f>'KO 16 adj 2013 TY'!F60</f>
        <v>0.98479749</v>
      </c>
      <c r="G33" s="4">
        <f>E33</f>
        <v>-742191.4285714285</v>
      </c>
      <c r="H33" s="11" t="s">
        <v>219</v>
      </c>
      <c r="I33" s="3" t="s">
        <v>516</v>
      </c>
      <c r="K33" s="4" t="str">
        <f>'KO 16 adj 2013 TY'!I60</f>
        <v>INC520010</v>
      </c>
    </row>
    <row r="34" ht="9.75">
      <c r="I34" s="3" t="s">
        <v>517</v>
      </c>
    </row>
    <row r="35" ht="9.75">
      <c r="I35" s="3" t="s">
        <v>531</v>
      </c>
    </row>
    <row r="36" spans="2:8" ht="9.75">
      <c r="B36" s="8" t="s">
        <v>232</v>
      </c>
      <c r="C36" s="9"/>
      <c r="D36" s="172">
        <f>D8+D12+D33+D24+D17</f>
        <v>3490050.1410150235</v>
      </c>
      <c r="E36" s="173"/>
      <c r="F36" s="174"/>
      <c r="G36" s="172">
        <f>G8+G12+G33+G24+G17</f>
        <v>-2724700.5196714285</v>
      </c>
      <c r="H36" s="175"/>
    </row>
    <row r="40" spans="4:7" ht="9.75">
      <c r="D40" s="210" t="b">
        <f>D36='KO 16 adj 2013 TY'!V24*1000</f>
        <v>1</v>
      </c>
      <c r="G40" s="210" t="b">
        <f>G36=(('KO 16 adj 2013 TY'!E53+'KO 16 adj 2013 TY'!E60+'KO 16 adj 2013 TY'!E63)*1000)</f>
        <v>1</v>
      </c>
    </row>
  </sheetData>
  <sheetProtection/>
  <printOptions/>
  <pageMargins left="0.75" right="0.75" top="1" bottom="1" header="0.5" footer="0.5"/>
  <pageSetup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6"/>
  <sheetViews>
    <sheetView zoomScalePageLayoutView="0" workbookViewId="0" topLeftCell="A1">
      <selection activeCell="B2" sqref="B1:B2"/>
    </sheetView>
  </sheetViews>
  <sheetFormatPr defaultColWidth="10.8515625" defaultRowHeight="12.75"/>
  <cols>
    <col min="1" max="1" width="6.28125" style="92" customWidth="1"/>
    <col min="2" max="2" width="39.28125" style="73" customWidth="1"/>
    <col min="3" max="3" width="7.140625" style="73" customWidth="1"/>
    <col min="4" max="4" width="3.8515625" style="73" customWidth="1"/>
    <col min="5" max="5" width="11.7109375" style="73" customWidth="1"/>
    <col min="6" max="6" width="10.57421875" style="73" customWidth="1"/>
    <col min="7" max="7" width="13.28125" style="73" customWidth="1"/>
    <col min="8" max="8" width="12.7109375" style="73" customWidth="1"/>
    <col min="9" max="9" width="13.00390625" style="73" customWidth="1"/>
    <col min="10" max="10" width="11.7109375" style="73" customWidth="1"/>
    <col min="11" max="11" width="12.28125" style="73" customWidth="1"/>
    <col min="12" max="12" width="12.140625" style="73" customWidth="1"/>
    <col min="13" max="13" width="10.7109375" style="73" customWidth="1"/>
    <col min="14" max="14" width="12.8515625" style="73" customWidth="1"/>
    <col min="15" max="15" width="13.7109375" style="73" customWidth="1"/>
    <col min="16" max="16" width="14.421875" style="73" customWidth="1"/>
    <col min="17" max="17" width="15.28125" style="73" customWidth="1"/>
    <col min="18" max="18" width="19.7109375" style="73" bestFit="1" customWidth="1"/>
    <col min="19" max="19" width="8.421875" style="73" bestFit="1" customWidth="1"/>
    <col min="20" max="20" width="8.421875" style="73" customWidth="1"/>
    <col min="21" max="21" width="8.421875" style="73" bestFit="1" customWidth="1"/>
    <col min="22" max="22" width="11.421875" style="73" customWidth="1"/>
    <col min="23" max="24" width="13.28125" style="73" customWidth="1"/>
    <col min="25" max="16384" width="10.8515625" style="73" customWidth="1"/>
  </cols>
  <sheetData>
    <row r="1" ht="15">
      <c r="B1" s="268" t="s">
        <v>1122</v>
      </c>
    </row>
    <row r="2" ht="15">
      <c r="B2" s="268" t="s">
        <v>1116</v>
      </c>
    </row>
    <row r="4" spans="2:3" ht="9.75">
      <c r="B4" s="93" t="s">
        <v>378</v>
      </c>
      <c r="C4" s="93"/>
    </row>
    <row r="5" spans="2:3" ht="9.75">
      <c r="B5" s="93" t="s">
        <v>379</v>
      </c>
      <c r="C5" s="93"/>
    </row>
    <row r="6" spans="2:3" ht="9.75">
      <c r="B6" s="93" t="s">
        <v>380</v>
      </c>
      <c r="C6" s="93"/>
    </row>
    <row r="7" spans="5:22" s="94" customFormat="1" ht="12">
      <c r="E7" s="95" t="s">
        <v>381</v>
      </c>
      <c r="F7" s="94" t="s">
        <v>382</v>
      </c>
      <c r="G7" s="94" t="s">
        <v>383</v>
      </c>
      <c r="H7" s="94" t="s">
        <v>384</v>
      </c>
      <c r="I7" s="94" t="s">
        <v>385</v>
      </c>
      <c r="J7" s="94" t="s">
        <v>386</v>
      </c>
      <c r="K7" s="94" t="s">
        <v>387</v>
      </c>
      <c r="L7" s="94" t="s">
        <v>388</v>
      </c>
      <c r="M7" s="94" t="s">
        <v>389</v>
      </c>
      <c r="N7" s="94" t="s">
        <v>390</v>
      </c>
      <c r="O7" s="94" t="s">
        <v>391</v>
      </c>
      <c r="P7" s="94" t="s">
        <v>392</v>
      </c>
      <c r="Q7" s="94" t="s">
        <v>393</v>
      </c>
      <c r="S7" s="95" t="s">
        <v>394</v>
      </c>
      <c r="T7" s="95"/>
      <c r="U7" s="95"/>
      <c r="V7" s="94" t="s">
        <v>395</v>
      </c>
    </row>
    <row r="8" spans="6:16" ht="9.75">
      <c r="F8" s="92" t="s">
        <v>396</v>
      </c>
      <c r="G8" s="96" t="s">
        <v>239</v>
      </c>
      <c r="I8" s="97" t="s">
        <v>397</v>
      </c>
      <c r="J8" s="92" t="s">
        <v>398</v>
      </c>
      <c r="K8" s="92" t="s">
        <v>399</v>
      </c>
      <c r="L8" s="92" t="s">
        <v>400</v>
      </c>
      <c r="M8" s="96" t="s">
        <v>401</v>
      </c>
      <c r="N8" s="96" t="s">
        <v>402</v>
      </c>
      <c r="O8" s="96" t="s">
        <v>403</v>
      </c>
      <c r="P8" s="96" t="s">
        <v>404</v>
      </c>
    </row>
    <row r="9" spans="5:22" ht="9.75">
      <c r="E9" s="98" t="s">
        <v>405</v>
      </c>
      <c r="F9" s="98" t="s">
        <v>406</v>
      </c>
      <c r="G9" s="96" t="s">
        <v>407</v>
      </c>
      <c r="H9" s="96" t="s">
        <v>408</v>
      </c>
      <c r="I9" s="99" t="s">
        <v>409</v>
      </c>
      <c r="J9" s="98" t="s">
        <v>410</v>
      </c>
      <c r="K9" s="96" t="s">
        <v>411</v>
      </c>
      <c r="L9" s="96" t="s">
        <v>412</v>
      </c>
      <c r="M9" s="96" t="s">
        <v>413</v>
      </c>
      <c r="N9" s="96" t="s">
        <v>414</v>
      </c>
      <c r="O9" s="96" t="s">
        <v>415</v>
      </c>
      <c r="P9" s="96" t="s">
        <v>416</v>
      </c>
      <c r="Q9" s="100" t="s">
        <v>239</v>
      </c>
      <c r="R9" s="101" t="s">
        <v>417</v>
      </c>
      <c r="S9" s="102" t="s">
        <v>418</v>
      </c>
      <c r="T9" s="102" t="s">
        <v>419</v>
      </c>
      <c r="U9" s="102" t="s">
        <v>420</v>
      </c>
      <c r="V9" s="102" t="s">
        <v>239</v>
      </c>
    </row>
    <row r="10" spans="5:22" ht="9.75">
      <c r="E10" s="98" t="s">
        <v>421</v>
      </c>
      <c r="F10" s="98" t="s">
        <v>422</v>
      </c>
      <c r="G10" s="96" t="s">
        <v>423</v>
      </c>
      <c r="H10" s="96" t="s">
        <v>424</v>
      </c>
      <c r="I10" s="99" t="s">
        <v>425</v>
      </c>
      <c r="J10" s="98" t="s">
        <v>426</v>
      </c>
      <c r="K10" s="96" t="s">
        <v>427</v>
      </c>
      <c r="L10" s="96" t="s">
        <v>428</v>
      </c>
      <c r="M10" s="92" t="s">
        <v>429</v>
      </c>
      <c r="N10" s="96" t="s">
        <v>430</v>
      </c>
      <c r="O10" s="96" t="s">
        <v>431</v>
      </c>
      <c r="P10" s="96" t="s">
        <v>432</v>
      </c>
      <c r="Q10" s="103" t="s">
        <v>433</v>
      </c>
      <c r="R10" s="104" t="s">
        <v>433</v>
      </c>
      <c r="S10" s="105" t="s">
        <v>434</v>
      </c>
      <c r="T10" s="105" t="s">
        <v>435</v>
      </c>
      <c r="U10" s="105" t="s">
        <v>436</v>
      </c>
      <c r="V10" s="105" t="s">
        <v>437</v>
      </c>
    </row>
    <row r="11" spans="1:22" ht="12.75">
      <c r="A11" s="92" t="s">
        <v>438</v>
      </c>
      <c r="B11" s="106" t="s">
        <v>439</v>
      </c>
      <c r="C11" s="107"/>
      <c r="E11" s="108" t="s">
        <v>440</v>
      </c>
      <c r="F11" s="108" t="s">
        <v>440</v>
      </c>
      <c r="G11" s="108" t="s">
        <v>440</v>
      </c>
      <c r="H11" s="109" t="s">
        <v>440</v>
      </c>
      <c r="I11" s="110" t="s">
        <v>440</v>
      </c>
      <c r="J11" s="108" t="s">
        <v>440</v>
      </c>
      <c r="K11" s="109" t="s">
        <v>440</v>
      </c>
      <c r="L11" s="108" t="s">
        <v>440</v>
      </c>
      <c r="M11" s="108" t="s">
        <v>440</v>
      </c>
      <c r="N11" s="108" t="s">
        <v>440</v>
      </c>
      <c r="O11" s="108" t="s">
        <v>440</v>
      </c>
      <c r="P11" s="108" t="s">
        <v>440</v>
      </c>
      <c r="Q11" s="111" t="s">
        <v>440</v>
      </c>
      <c r="R11" s="112" t="s">
        <v>441</v>
      </c>
      <c r="S11" s="113" t="s">
        <v>440</v>
      </c>
      <c r="T11" s="113" t="s">
        <v>440</v>
      </c>
      <c r="U11" s="113" t="s">
        <v>440</v>
      </c>
      <c r="V11" s="113" t="s">
        <v>440</v>
      </c>
    </row>
    <row r="12" spans="5:22" ht="9.75">
      <c r="E12" s="98"/>
      <c r="F12" s="98"/>
      <c r="G12" s="98"/>
      <c r="H12" s="98"/>
      <c r="I12" s="114"/>
      <c r="J12" s="98"/>
      <c r="K12" s="98"/>
      <c r="L12" s="98"/>
      <c r="M12" s="98"/>
      <c r="N12" s="98"/>
      <c r="O12" s="98"/>
      <c r="P12" s="98"/>
      <c r="Q12" s="115"/>
      <c r="R12" s="115"/>
      <c r="S12" s="98"/>
      <c r="T12" s="98"/>
      <c r="U12" s="98"/>
      <c r="V12" s="103"/>
    </row>
    <row r="13" spans="1:22" ht="12" customHeight="1">
      <c r="A13" s="92">
        <v>1</v>
      </c>
      <c r="B13" s="116" t="s">
        <v>442</v>
      </c>
      <c r="C13" s="116"/>
      <c r="E13" s="68"/>
      <c r="F13" s="68"/>
      <c r="G13" s="68"/>
      <c r="H13" s="68"/>
      <c r="I13" s="117"/>
      <c r="J13" s="68"/>
      <c r="K13" s="68"/>
      <c r="L13" s="68">
        <f>G62</f>
        <v>1672.3498174098495</v>
      </c>
      <c r="M13" s="68">
        <v>0</v>
      </c>
      <c r="N13" s="68">
        <f>I62</f>
        <v>0</v>
      </c>
      <c r="O13" s="68">
        <v>0</v>
      </c>
      <c r="P13" s="68">
        <v>0</v>
      </c>
      <c r="Q13" s="118">
        <f>SUM(E13:P13)</f>
        <v>1672.3498174098495</v>
      </c>
      <c r="R13" s="118">
        <f>Q13-I13</f>
        <v>1672.3498174098495</v>
      </c>
      <c r="S13" s="68"/>
      <c r="T13" s="68"/>
      <c r="U13" s="68"/>
      <c r="V13" s="119">
        <f>SUM(R13:U13)</f>
        <v>1672.3498174098495</v>
      </c>
    </row>
    <row r="14" spans="1:22" ht="12" customHeight="1">
      <c r="A14" s="92">
        <f>+A13+1</f>
        <v>2</v>
      </c>
      <c r="B14" s="116"/>
      <c r="C14" s="116"/>
      <c r="E14" s="68"/>
      <c r="F14" s="68"/>
      <c r="G14" s="68"/>
      <c r="H14" s="68"/>
      <c r="I14" s="117"/>
      <c r="J14" s="68"/>
      <c r="K14" s="68"/>
      <c r="L14" s="68"/>
      <c r="M14" s="68"/>
      <c r="N14" s="68"/>
      <c r="O14" s="68"/>
      <c r="P14" s="68"/>
      <c r="Q14" s="118"/>
      <c r="R14" s="118"/>
      <c r="S14" s="68"/>
      <c r="T14" s="68"/>
      <c r="U14" s="68"/>
      <c r="V14" s="119"/>
    </row>
    <row r="15" spans="1:22" ht="9.75">
      <c r="A15" s="92">
        <f aca="true" t="shared" si="0" ref="A15:A66">+A14+1</f>
        <v>3</v>
      </c>
      <c r="B15" s="120" t="s">
        <v>443</v>
      </c>
      <c r="C15" s="120"/>
      <c r="E15" s="68"/>
      <c r="F15" s="68">
        <v>0</v>
      </c>
      <c r="G15" s="68">
        <v>1.8134000000059605</v>
      </c>
      <c r="H15" s="68">
        <v>0</v>
      </c>
      <c r="I15" s="117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118">
        <f>SUM(E15:P15)</f>
        <v>1.8134000000059605</v>
      </c>
      <c r="R15" s="118">
        <f>Q15-I15</f>
        <v>1.8134000000059605</v>
      </c>
      <c r="S15" s="68"/>
      <c r="T15" s="68"/>
      <c r="U15" s="68"/>
      <c r="V15" s="119">
        <f>SUM(R15:U15)</f>
        <v>1.8134000000059605</v>
      </c>
    </row>
    <row r="16" spans="1:22" ht="9.75">
      <c r="A16" s="92">
        <f t="shared" si="0"/>
        <v>4</v>
      </c>
      <c r="B16" s="120"/>
      <c r="C16" s="120"/>
      <c r="E16" s="121"/>
      <c r="F16" s="121"/>
      <c r="G16" s="121"/>
      <c r="H16" s="121"/>
      <c r="I16" s="122"/>
      <c r="J16" s="121"/>
      <c r="K16" s="121"/>
      <c r="L16" s="121"/>
      <c r="M16" s="121"/>
      <c r="N16" s="121"/>
      <c r="O16" s="121"/>
      <c r="P16" s="121"/>
      <c r="Q16" s="123"/>
      <c r="R16" s="123"/>
      <c r="S16" s="121"/>
      <c r="T16" s="121"/>
      <c r="U16" s="121"/>
      <c r="V16" s="124"/>
    </row>
    <row r="17" spans="1:22" ht="9.75">
      <c r="A17" s="92">
        <f t="shared" si="0"/>
        <v>5</v>
      </c>
      <c r="B17" s="120" t="s">
        <v>444</v>
      </c>
      <c r="C17" s="120"/>
      <c r="E17" s="68">
        <f>E13+E15</f>
        <v>0</v>
      </c>
      <c r="F17" s="68">
        <f>F13+F15</f>
        <v>0</v>
      </c>
      <c r="G17" s="68">
        <f>G13+G15</f>
        <v>1.8134000000059605</v>
      </c>
      <c r="H17" s="68">
        <f aca="true" t="shared" si="1" ref="H17:P17">H13+H15</f>
        <v>0</v>
      </c>
      <c r="I17" s="117">
        <f t="shared" si="1"/>
        <v>0</v>
      </c>
      <c r="J17" s="68">
        <f t="shared" si="1"/>
        <v>0</v>
      </c>
      <c r="K17" s="68">
        <f t="shared" si="1"/>
        <v>0</v>
      </c>
      <c r="L17" s="68">
        <f t="shared" si="1"/>
        <v>1672.3498174098495</v>
      </c>
      <c r="M17" s="68">
        <f t="shared" si="1"/>
        <v>0</v>
      </c>
      <c r="N17" s="68">
        <f t="shared" si="1"/>
        <v>0</v>
      </c>
      <c r="O17" s="68">
        <f t="shared" si="1"/>
        <v>0</v>
      </c>
      <c r="P17" s="68">
        <f t="shared" si="1"/>
        <v>0</v>
      </c>
      <c r="Q17" s="118">
        <f>Q13+Q15</f>
        <v>1674.1632174098554</v>
      </c>
      <c r="R17" s="118">
        <f>Q17-I17</f>
        <v>1674.1632174098554</v>
      </c>
      <c r="S17" s="68"/>
      <c r="T17" s="68"/>
      <c r="U17" s="68"/>
      <c r="V17" s="119">
        <f>V13+V15</f>
        <v>1674.1632174098554</v>
      </c>
    </row>
    <row r="18" spans="1:22" ht="9.75">
      <c r="A18" s="92">
        <f t="shared" si="0"/>
        <v>6</v>
      </c>
      <c r="B18" s="120"/>
      <c r="C18" s="120"/>
      <c r="E18" s="68"/>
      <c r="F18" s="68"/>
      <c r="G18" s="68"/>
      <c r="H18" s="68"/>
      <c r="I18" s="117"/>
      <c r="J18" s="68"/>
      <c r="K18" s="68"/>
      <c r="L18" s="68"/>
      <c r="M18" s="68"/>
      <c r="N18" s="68"/>
      <c r="O18" s="68"/>
      <c r="P18" s="68"/>
      <c r="Q18" s="118"/>
      <c r="R18" s="118"/>
      <c r="S18" s="68"/>
      <c r="T18" s="68"/>
      <c r="U18" s="68"/>
      <c r="V18" s="119"/>
    </row>
    <row r="19" spans="1:22" ht="9.75">
      <c r="A19" s="92">
        <f t="shared" si="0"/>
        <v>7</v>
      </c>
      <c r="B19" s="125" t="s">
        <v>445</v>
      </c>
      <c r="C19" s="125"/>
      <c r="E19" s="68"/>
      <c r="F19" s="68"/>
      <c r="G19" s="68"/>
      <c r="H19" s="68"/>
      <c r="I19" s="117"/>
      <c r="J19" s="68"/>
      <c r="K19" s="68"/>
      <c r="L19" s="68"/>
      <c r="M19" s="68"/>
      <c r="N19" s="68"/>
      <c r="O19" s="68"/>
      <c r="P19" s="68"/>
      <c r="Q19" s="118"/>
      <c r="R19" s="118"/>
      <c r="S19" s="68"/>
      <c r="T19" s="68"/>
      <c r="U19" s="68"/>
      <c r="V19" s="119"/>
    </row>
    <row r="20" spans="1:22" s="154" customFormat="1" ht="9.75">
      <c r="A20" s="152">
        <f t="shared" si="0"/>
        <v>8</v>
      </c>
      <c r="B20" s="153" t="s">
        <v>446</v>
      </c>
      <c r="C20" s="153"/>
      <c r="E20" s="155"/>
      <c r="F20" s="164">
        <f>G53</f>
        <v>-2901.8417960536713</v>
      </c>
      <c r="G20" s="155">
        <v>91.8893100001812</v>
      </c>
      <c r="H20" s="155">
        <f>J57</f>
        <v>0</v>
      </c>
      <c r="I20" s="156">
        <f>K57</f>
        <v>0</v>
      </c>
      <c r="J20" s="164">
        <f>G60</f>
        <v>-730.9082559566572</v>
      </c>
      <c r="K20" s="155">
        <v>0</v>
      </c>
      <c r="L20" s="155">
        <v>0</v>
      </c>
      <c r="M20" s="164">
        <f>G63</f>
        <v>949.4718192362101</v>
      </c>
      <c r="N20" s="155">
        <v>0</v>
      </c>
      <c r="O20" s="155">
        <f>G65</f>
        <v>6081.439063788961</v>
      </c>
      <c r="P20" s="155">
        <f>J63</f>
        <v>0</v>
      </c>
      <c r="Q20" s="157">
        <f>SUM(E20:P20)</f>
        <v>3490.0501410150237</v>
      </c>
      <c r="R20" s="157">
        <f>Q20-I20</f>
        <v>3490.0501410150237</v>
      </c>
      <c r="S20" s="155"/>
      <c r="T20" s="155"/>
      <c r="U20" s="155"/>
      <c r="V20" s="158">
        <f>SUM(R20:U20)</f>
        <v>3490.0501410150237</v>
      </c>
    </row>
    <row r="21" spans="1:22" s="154" customFormat="1" ht="9.75">
      <c r="A21" s="152">
        <f t="shared" si="0"/>
        <v>9</v>
      </c>
      <c r="B21" s="153" t="s">
        <v>447</v>
      </c>
      <c r="C21" s="153"/>
      <c r="E21" s="155"/>
      <c r="F21" s="155"/>
      <c r="G21" s="155"/>
      <c r="H21" s="155"/>
      <c r="I21" s="156"/>
      <c r="J21" s="155"/>
      <c r="K21" s="155"/>
      <c r="L21" s="155"/>
      <c r="M21" s="155"/>
      <c r="N21" s="155"/>
      <c r="O21" s="155"/>
      <c r="P21" s="155"/>
      <c r="Q21" s="157">
        <f>SUM(E21:P21)</f>
        <v>0</v>
      </c>
      <c r="R21" s="157"/>
      <c r="S21" s="155"/>
      <c r="T21" s="155"/>
      <c r="U21" s="155"/>
      <c r="V21" s="158">
        <f>SUM(R21:U21)</f>
        <v>0</v>
      </c>
    </row>
    <row r="22" spans="1:22" s="154" customFormat="1" ht="9.75">
      <c r="A22" s="152">
        <f t="shared" si="0"/>
        <v>10</v>
      </c>
      <c r="B22" s="159" t="s">
        <v>448</v>
      </c>
      <c r="C22" s="159"/>
      <c r="E22" s="155"/>
      <c r="F22" s="155"/>
      <c r="G22" s="155"/>
      <c r="H22" s="155"/>
      <c r="I22" s="156"/>
      <c r="J22" s="155"/>
      <c r="K22" s="155"/>
      <c r="L22" s="155"/>
      <c r="M22" s="155"/>
      <c r="N22" s="155"/>
      <c r="O22" s="155"/>
      <c r="P22" s="155"/>
      <c r="Q22" s="157">
        <f>SUM(E22:P22)</f>
        <v>0</v>
      </c>
      <c r="R22" s="157"/>
      <c r="S22" s="155"/>
      <c r="T22" s="155"/>
      <c r="U22" s="155"/>
      <c r="V22" s="158">
        <f>SUM(R22:U22)</f>
        <v>0</v>
      </c>
    </row>
    <row r="23" spans="1:22" s="154" customFormat="1" ht="9.75">
      <c r="A23" s="152">
        <f t="shared" si="0"/>
        <v>11</v>
      </c>
      <c r="B23" s="159" t="s">
        <v>449</v>
      </c>
      <c r="C23" s="159"/>
      <c r="E23" s="155"/>
      <c r="F23" s="155"/>
      <c r="G23" s="155"/>
      <c r="H23" s="155"/>
      <c r="I23" s="156"/>
      <c r="J23" s="155"/>
      <c r="K23" s="155"/>
      <c r="L23" s="155"/>
      <c r="M23" s="155"/>
      <c r="N23" s="155"/>
      <c r="O23" s="155"/>
      <c r="P23" s="155"/>
      <c r="Q23" s="157">
        <f>SUM(E23:P23)</f>
        <v>0</v>
      </c>
      <c r="R23" s="157"/>
      <c r="S23" s="155"/>
      <c r="T23" s="155"/>
      <c r="U23" s="155"/>
      <c r="V23" s="158">
        <f>SUM(R23:U23)</f>
        <v>0</v>
      </c>
    </row>
    <row r="24" spans="1:22" s="154" customFormat="1" ht="9.75">
      <c r="A24" s="152">
        <f t="shared" si="0"/>
        <v>12</v>
      </c>
      <c r="B24" s="159" t="s">
        <v>450</v>
      </c>
      <c r="C24" s="159"/>
      <c r="E24" s="160">
        <f>E20+E21+E22+E23</f>
        <v>0</v>
      </c>
      <c r="F24" s="160">
        <f>F20+F21+F22+F23</f>
        <v>-2901.8417960536713</v>
      </c>
      <c r="G24" s="160">
        <f>G20+G21+G22+G23</f>
        <v>91.8893100001812</v>
      </c>
      <c r="H24" s="160">
        <f>H20+H21+H22+H23</f>
        <v>0</v>
      </c>
      <c r="I24" s="161">
        <f>I20+I21+I22+I23</f>
        <v>0</v>
      </c>
      <c r="J24" s="160">
        <f aca="true" t="shared" si="2" ref="J24:P24">J20+J21+J22+J23</f>
        <v>-730.9082559566572</v>
      </c>
      <c r="K24" s="160">
        <f t="shared" si="2"/>
        <v>0</v>
      </c>
      <c r="L24" s="160">
        <f t="shared" si="2"/>
        <v>0</v>
      </c>
      <c r="M24" s="160">
        <f t="shared" si="2"/>
        <v>949.4718192362101</v>
      </c>
      <c r="N24" s="160">
        <f t="shared" si="2"/>
        <v>0</v>
      </c>
      <c r="O24" s="160">
        <f t="shared" si="2"/>
        <v>6081.439063788961</v>
      </c>
      <c r="P24" s="160">
        <f t="shared" si="2"/>
        <v>0</v>
      </c>
      <c r="Q24" s="162">
        <f>Q20+Q21+Q22+Q23</f>
        <v>3490.0501410150237</v>
      </c>
      <c r="R24" s="162">
        <f>Q24-I24</f>
        <v>3490.0501410150237</v>
      </c>
      <c r="S24" s="160"/>
      <c r="T24" s="160"/>
      <c r="U24" s="160"/>
      <c r="V24" s="163">
        <f>V20+V21+V22+V23</f>
        <v>3490.0501410150237</v>
      </c>
    </row>
    <row r="25" spans="1:22" ht="9.75">
      <c r="A25" s="92">
        <f t="shared" si="0"/>
        <v>13</v>
      </c>
      <c r="B25" s="116"/>
      <c r="C25" s="116"/>
      <c r="E25" s="68"/>
      <c r="F25" s="68"/>
      <c r="G25" s="68"/>
      <c r="H25" s="68"/>
      <c r="I25" s="117"/>
      <c r="J25" s="68"/>
      <c r="K25" s="68"/>
      <c r="L25" s="68"/>
      <c r="M25" s="68"/>
      <c r="N25" s="68"/>
      <c r="O25" s="68"/>
      <c r="P25" s="68"/>
      <c r="Q25" s="118"/>
      <c r="R25" s="118"/>
      <c r="S25" s="68"/>
      <c r="T25" s="68"/>
      <c r="U25" s="68"/>
      <c r="V25" s="119"/>
    </row>
    <row r="26" spans="1:22" ht="9.75">
      <c r="A26" s="92">
        <f t="shared" si="0"/>
        <v>14</v>
      </c>
      <c r="B26" s="116" t="s">
        <v>451</v>
      </c>
      <c r="C26" s="116"/>
      <c r="E26" s="68">
        <f>G52</f>
        <v>-645.134329911453</v>
      </c>
      <c r="F26" s="68">
        <v>0</v>
      </c>
      <c r="G26" s="68">
        <v>83.78782000008574</v>
      </c>
      <c r="H26" s="68"/>
      <c r="I26" s="117">
        <f>G58</f>
        <v>-331.3415638530714</v>
      </c>
      <c r="J26" s="68">
        <v>0</v>
      </c>
      <c r="K26" s="68">
        <f>G61</f>
        <v>7638.904970477661</v>
      </c>
      <c r="L26" s="68">
        <v>0</v>
      </c>
      <c r="M26" s="68">
        <v>0</v>
      </c>
      <c r="N26" s="68">
        <f>G64</f>
        <v>-92.5490827926375</v>
      </c>
      <c r="O26" s="68">
        <v>0</v>
      </c>
      <c r="P26" s="68">
        <f>G66</f>
        <v>63.04644670265999</v>
      </c>
      <c r="Q26" s="118">
        <f>SUM(E26:P26)</f>
        <v>6716.714260623245</v>
      </c>
      <c r="R26" s="118">
        <f>Q26-I26</f>
        <v>7048.055824476316</v>
      </c>
      <c r="S26" s="68"/>
      <c r="T26" s="68"/>
      <c r="U26" s="68"/>
      <c r="V26" s="119">
        <f>SUM(R26:U26)</f>
        <v>7048.055824476316</v>
      </c>
    </row>
    <row r="27" spans="1:22" ht="9.75">
      <c r="A27" s="92">
        <f t="shared" si="0"/>
        <v>15</v>
      </c>
      <c r="B27" s="116"/>
      <c r="C27" s="116"/>
      <c r="E27" s="68"/>
      <c r="F27" s="68"/>
      <c r="G27" s="68"/>
      <c r="H27" s="68"/>
      <c r="I27" s="117"/>
      <c r="J27" s="68"/>
      <c r="K27" s="68"/>
      <c r="L27" s="68"/>
      <c r="M27" s="68"/>
      <c r="N27" s="68"/>
      <c r="O27" s="68"/>
      <c r="P27" s="68"/>
      <c r="Q27" s="118"/>
      <c r="R27" s="118"/>
      <c r="S27" s="68"/>
      <c r="T27" s="68"/>
      <c r="U27" s="68"/>
      <c r="V27" s="119"/>
    </row>
    <row r="28" spans="1:22" ht="9.75">
      <c r="A28" s="92">
        <f t="shared" si="0"/>
        <v>16</v>
      </c>
      <c r="B28" s="116" t="s">
        <v>452</v>
      </c>
      <c r="C28" s="116"/>
      <c r="E28" s="68">
        <v>0</v>
      </c>
      <c r="F28" s="68"/>
      <c r="G28" s="68">
        <v>-15.563539999961852</v>
      </c>
      <c r="H28" s="68">
        <f>J60</f>
        <v>0</v>
      </c>
      <c r="I28" s="117">
        <f>G59</f>
        <v>-211.73586426129623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118">
        <f>SUM(E28:P28)</f>
        <v>-227.29940426125808</v>
      </c>
      <c r="R28" s="118">
        <f>Q28-I28</f>
        <v>-15.563539999961847</v>
      </c>
      <c r="S28" s="68"/>
      <c r="T28" s="68"/>
      <c r="U28" s="68"/>
      <c r="V28" s="119">
        <f>SUM(R28:U28)</f>
        <v>-15.563539999961847</v>
      </c>
    </row>
    <row r="29" spans="1:22" ht="9.75">
      <c r="A29" s="92">
        <f t="shared" si="0"/>
        <v>17</v>
      </c>
      <c r="B29" s="116"/>
      <c r="C29" s="116"/>
      <c r="E29" s="68"/>
      <c r="F29" s="68"/>
      <c r="G29" s="68"/>
      <c r="H29" s="68"/>
      <c r="I29" s="117"/>
      <c r="J29" s="68"/>
      <c r="K29" s="68"/>
      <c r="L29" s="68"/>
      <c r="M29" s="68"/>
      <c r="N29" s="68"/>
      <c r="O29" s="68"/>
      <c r="P29" s="68"/>
      <c r="Q29" s="118"/>
      <c r="R29" s="118"/>
      <c r="S29" s="68"/>
      <c r="T29" s="68"/>
      <c r="U29" s="68"/>
      <c r="V29" s="119"/>
    </row>
    <row r="30" spans="1:24" ht="9.75">
      <c r="A30" s="92">
        <f t="shared" si="0"/>
        <v>18</v>
      </c>
      <c r="B30" s="116" t="s">
        <v>453</v>
      </c>
      <c r="C30" s="116"/>
      <c r="E30" s="68">
        <f>(E17-E24-E26-E28-E32)*0.38575</f>
        <v>248.860567763343</v>
      </c>
      <c r="F30" s="68">
        <f>(F17-F24-F26-F28-F32)*0.38575</f>
        <v>1119.3854728277036</v>
      </c>
      <c r="G30" s="68">
        <f>((G17-G24-G26-G28-G32)*0.38575)</f>
        <v>-61.0642982926154</v>
      </c>
      <c r="H30" s="68">
        <f>(H17-H24-H26-H28-H32)*0.38575</f>
        <v>-765.8555560396875</v>
      </c>
      <c r="I30" s="117">
        <f>(I17-I24-I26-I28-I32)*0.38575+37.2</f>
        <v>246.6921178951173</v>
      </c>
      <c r="J30" s="68">
        <f aca="true" t="shared" si="3" ref="J30:P30">(J17-J24-J26-J28-J32)*0.38575</f>
        <v>281.9478597352805</v>
      </c>
      <c r="K30" s="68">
        <f t="shared" si="3"/>
        <v>-2946.7075923617576</v>
      </c>
      <c r="L30" s="68">
        <f t="shared" si="3"/>
        <v>645.1089420658494</v>
      </c>
      <c r="M30" s="68">
        <f t="shared" si="3"/>
        <v>-366.258754270368</v>
      </c>
      <c r="N30" s="68">
        <f t="shared" si="3"/>
        <v>35.700808687259915</v>
      </c>
      <c r="O30" s="68">
        <f t="shared" si="3"/>
        <v>-2345.9151188565916</v>
      </c>
      <c r="P30" s="68">
        <f t="shared" si="3"/>
        <v>-24.32016681555109</v>
      </c>
      <c r="Q30" s="118">
        <f>SUM(E30:P30)</f>
        <v>-3932.4257176620176</v>
      </c>
      <c r="R30" s="118">
        <f>Q30-I30</f>
        <v>-4179.117835557135</v>
      </c>
      <c r="S30" s="68">
        <v>-1056.1778176212438</v>
      </c>
      <c r="T30" s="68">
        <v>6574.4907158986025</v>
      </c>
      <c r="U30" s="68">
        <v>1581.218070311793</v>
      </c>
      <c r="V30" s="119">
        <f>SUM(R30:U30)</f>
        <v>2920.413133032017</v>
      </c>
      <c r="X30" s="73" t="s">
        <v>210</v>
      </c>
    </row>
    <row r="31" spans="1:22" ht="9.75">
      <c r="A31" s="92">
        <f t="shared" si="0"/>
        <v>19</v>
      </c>
      <c r="B31" s="116"/>
      <c r="C31" s="116"/>
      <c r="E31" s="68"/>
      <c r="F31" s="68"/>
      <c r="G31" s="68"/>
      <c r="H31" s="68"/>
      <c r="I31" s="117"/>
      <c r="J31" s="68"/>
      <c r="K31" s="68"/>
      <c r="L31" s="68"/>
      <c r="M31" s="68"/>
      <c r="N31" s="68"/>
      <c r="O31" s="68"/>
      <c r="P31" s="68"/>
      <c r="Q31" s="118"/>
      <c r="R31" s="118"/>
      <c r="S31" s="68"/>
      <c r="T31" s="68"/>
      <c r="U31" s="68"/>
      <c r="V31" s="119"/>
    </row>
    <row r="32" spans="1:22" ht="12" customHeight="1">
      <c r="A32" s="92">
        <f t="shared" si="0"/>
        <v>20</v>
      </c>
      <c r="B32" s="116" t="s">
        <v>454</v>
      </c>
      <c r="C32" s="116"/>
      <c r="E32" s="68"/>
      <c r="F32" s="68"/>
      <c r="G32" s="68">
        <v>0</v>
      </c>
      <c r="H32" s="68">
        <f>G57</f>
        <v>1985.36761125</v>
      </c>
      <c r="I32" s="117"/>
      <c r="J32" s="68"/>
      <c r="K32" s="68"/>
      <c r="L32" s="68"/>
      <c r="M32" s="68"/>
      <c r="N32" s="68"/>
      <c r="O32" s="68"/>
      <c r="P32" s="68"/>
      <c r="Q32" s="118">
        <f>SUM(E32:P32)</f>
        <v>1985.36761125</v>
      </c>
      <c r="R32" s="118">
        <f>Q32-I32</f>
        <v>1985.36761125</v>
      </c>
      <c r="S32" s="68"/>
      <c r="T32" s="68"/>
      <c r="U32" s="68"/>
      <c r="V32" s="119">
        <f>SUM(R32:U32)</f>
        <v>1985.36761125</v>
      </c>
    </row>
    <row r="33" spans="1:22" ht="9.75">
      <c r="A33" s="92">
        <f t="shared" si="0"/>
        <v>21</v>
      </c>
      <c r="B33" s="116"/>
      <c r="C33" s="116"/>
      <c r="E33" s="121"/>
      <c r="F33" s="121"/>
      <c r="G33" s="121"/>
      <c r="H33" s="121"/>
      <c r="I33" s="122"/>
      <c r="J33" s="121"/>
      <c r="K33" s="121"/>
      <c r="L33" s="121"/>
      <c r="M33" s="121"/>
      <c r="N33" s="121"/>
      <c r="O33" s="121"/>
      <c r="P33" s="121"/>
      <c r="Q33" s="123"/>
      <c r="R33" s="123"/>
      <c r="S33" s="121"/>
      <c r="T33" s="121"/>
      <c r="U33" s="121"/>
      <c r="V33" s="124"/>
    </row>
    <row r="34" spans="1:22" ht="9.75">
      <c r="A34" s="92">
        <f t="shared" si="0"/>
        <v>22</v>
      </c>
      <c r="B34" s="116" t="s">
        <v>455</v>
      </c>
      <c r="C34" s="116"/>
      <c r="E34" s="68">
        <f>E24+E26+E28+E30+E32</f>
        <v>-396.27376214811005</v>
      </c>
      <c r="F34" s="68">
        <f>F24+F26+F28+F30+F32</f>
        <v>-1782.4563232259677</v>
      </c>
      <c r="G34" s="68">
        <f>G24+G26+G28+G30+G32</f>
        <v>99.04929170768969</v>
      </c>
      <c r="H34" s="68">
        <f aca="true" t="shared" si="4" ref="H34:Q34">H24+H26+H28+H30+H32</f>
        <v>1219.5120552103126</v>
      </c>
      <c r="I34" s="117">
        <f t="shared" si="4"/>
        <v>-296.38531021925036</v>
      </c>
      <c r="J34" s="68">
        <f t="shared" si="4"/>
        <v>-448.9603962213767</v>
      </c>
      <c r="K34" s="68">
        <f t="shared" si="4"/>
        <v>4692.197378115903</v>
      </c>
      <c r="L34" s="68">
        <f t="shared" si="4"/>
        <v>645.1089420658494</v>
      </c>
      <c r="M34" s="68">
        <f t="shared" si="4"/>
        <v>583.213064965842</v>
      </c>
      <c r="N34" s="68">
        <f t="shared" si="4"/>
        <v>-56.84827410537759</v>
      </c>
      <c r="O34" s="68">
        <f>O24+O26+O28+O30+O32</f>
        <v>3735.5239449323694</v>
      </c>
      <c r="P34" s="68">
        <f>P24+P26+P28+P30+P32</f>
        <v>38.7262798871089</v>
      </c>
      <c r="Q34" s="118">
        <f t="shared" si="4"/>
        <v>8032.406890964994</v>
      </c>
      <c r="R34" s="118">
        <f>Q34-I34</f>
        <v>8328.792201184244</v>
      </c>
      <c r="S34" s="68">
        <f>S24+S26+S28+S30+S32</f>
        <v>-1056.1778176212438</v>
      </c>
      <c r="T34" s="68">
        <f>T24+T26+T28+T30+T32</f>
        <v>6574.4907158986025</v>
      </c>
      <c r="U34" s="68">
        <f>U24+U26+U28+U30+U32</f>
        <v>1581.218070311793</v>
      </c>
      <c r="V34" s="119">
        <f>V24+V26+V28+V30+V32</f>
        <v>15428.323169773397</v>
      </c>
    </row>
    <row r="35" spans="1:22" ht="9.75">
      <c r="A35" s="92">
        <f t="shared" si="0"/>
        <v>23</v>
      </c>
      <c r="B35" s="116"/>
      <c r="C35" s="116"/>
      <c r="E35" s="121"/>
      <c r="F35" s="121"/>
      <c r="G35" s="121"/>
      <c r="H35" s="121"/>
      <c r="I35" s="122"/>
      <c r="J35" s="121"/>
      <c r="K35" s="121"/>
      <c r="L35" s="121"/>
      <c r="M35" s="121"/>
      <c r="N35" s="121"/>
      <c r="O35" s="121"/>
      <c r="P35" s="121"/>
      <c r="Q35" s="123"/>
      <c r="R35" s="123"/>
      <c r="S35" s="121"/>
      <c r="T35" s="121"/>
      <c r="U35" s="121"/>
      <c r="V35" s="124"/>
    </row>
    <row r="36" spans="1:23" ht="9.75">
      <c r="A36" s="92">
        <f t="shared" si="0"/>
        <v>24</v>
      </c>
      <c r="B36" s="120" t="s">
        <v>456</v>
      </c>
      <c r="C36" s="120"/>
      <c r="E36" s="68">
        <f aca="true" t="shared" si="5" ref="E36:Q36">E17-E34</f>
        <v>396.27376214811005</v>
      </c>
      <c r="F36" s="68">
        <f t="shared" si="5"/>
        <v>1782.4563232259677</v>
      </c>
      <c r="G36" s="68">
        <f t="shared" si="5"/>
        <v>-97.23589170768373</v>
      </c>
      <c r="H36" s="68">
        <f t="shared" si="5"/>
        <v>-1219.5120552103126</v>
      </c>
      <c r="I36" s="126">
        <f t="shared" si="5"/>
        <v>296.38531021925036</v>
      </c>
      <c r="J36" s="68">
        <f t="shared" si="5"/>
        <v>448.9603962213767</v>
      </c>
      <c r="K36" s="68">
        <f t="shared" si="5"/>
        <v>-4692.197378115903</v>
      </c>
      <c r="L36" s="68">
        <f t="shared" si="5"/>
        <v>1027.240875344</v>
      </c>
      <c r="M36" s="68">
        <f t="shared" si="5"/>
        <v>-583.213064965842</v>
      </c>
      <c r="N36" s="68">
        <f t="shared" si="5"/>
        <v>56.84827410537759</v>
      </c>
      <c r="O36" s="68">
        <f>O17-O34</f>
        <v>-3735.5239449323694</v>
      </c>
      <c r="P36" s="68">
        <f>P17-P34</f>
        <v>-38.7262798871089</v>
      </c>
      <c r="Q36" s="118">
        <f t="shared" si="5"/>
        <v>-6358.243673555138</v>
      </c>
      <c r="R36" s="118">
        <f>Q36-I36</f>
        <v>-6654.628983774389</v>
      </c>
      <c r="S36" s="68">
        <f>S17-S34</f>
        <v>1056.1778176212438</v>
      </c>
      <c r="T36" s="68">
        <f>T17-T34</f>
        <v>-6574.4907158986025</v>
      </c>
      <c r="U36" s="68">
        <f>U17-U34</f>
        <v>-1581.218070311793</v>
      </c>
      <c r="V36" s="127">
        <f>V17-V34</f>
        <v>-13754.159952363541</v>
      </c>
      <c r="W36" s="69"/>
    </row>
    <row r="37" spans="1:22" ht="9.75">
      <c r="A37" s="92">
        <f t="shared" si="0"/>
        <v>25</v>
      </c>
      <c r="E37" s="68"/>
      <c r="F37" s="68"/>
      <c r="G37" s="68"/>
      <c r="H37" s="68"/>
      <c r="I37" s="117"/>
      <c r="J37" s="68"/>
      <c r="K37" s="68"/>
      <c r="L37" s="68"/>
      <c r="M37" s="68"/>
      <c r="N37" s="68"/>
      <c r="O37" s="68"/>
      <c r="P37" s="68"/>
      <c r="Q37" s="118"/>
      <c r="R37" s="118"/>
      <c r="S37" s="68"/>
      <c r="T37" s="68"/>
      <c r="U37" s="68"/>
      <c r="V37" s="119"/>
    </row>
    <row r="38" spans="1:22" ht="9.75">
      <c r="A38" s="92">
        <f t="shared" si="0"/>
        <v>26</v>
      </c>
      <c r="E38" s="92"/>
      <c r="F38" s="92"/>
      <c r="G38" s="92"/>
      <c r="H38" s="92"/>
      <c r="I38" s="97"/>
      <c r="J38" s="92"/>
      <c r="K38" s="92"/>
      <c r="L38" s="92"/>
      <c r="M38" s="92"/>
      <c r="N38" s="92"/>
      <c r="O38" s="92"/>
      <c r="P38" s="92"/>
      <c r="Q38" s="128"/>
      <c r="R38" s="128"/>
      <c r="S38" s="92"/>
      <c r="T38" s="92"/>
      <c r="U38" s="92"/>
      <c r="V38" s="129"/>
    </row>
    <row r="39" spans="1:22" ht="9.75">
      <c r="A39" s="92">
        <f t="shared" si="0"/>
        <v>27</v>
      </c>
      <c r="B39" s="107" t="s">
        <v>457</v>
      </c>
      <c r="C39" s="107"/>
      <c r="E39" s="92"/>
      <c r="F39" s="92"/>
      <c r="G39" s="92"/>
      <c r="H39" s="92"/>
      <c r="I39" s="97"/>
      <c r="J39" s="92"/>
      <c r="K39" s="92"/>
      <c r="L39" s="92"/>
      <c r="M39" s="92"/>
      <c r="N39" s="92"/>
      <c r="O39" s="92"/>
      <c r="P39" s="92"/>
      <c r="Q39" s="128"/>
      <c r="R39" s="128"/>
      <c r="S39" s="92"/>
      <c r="T39" s="92"/>
      <c r="U39" s="92"/>
      <c r="V39" s="129"/>
    </row>
    <row r="40" spans="1:22" ht="9.75">
      <c r="A40" s="92">
        <f t="shared" si="0"/>
        <v>28</v>
      </c>
      <c r="E40" s="92"/>
      <c r="F40" s="92"/>
      <c r="G40" s="92"/>
      <c r="H40" s="92"/>
      <c r="I40" s="97"/>
      <c r="J40" s="92"/>
      <c r="K40" s="92"/>
      <c r="L40" s="92"/>
      <c r="M40" s="92"/>
      <c r="N40" s="92"/>
      <c r="O40" s="92"/>
      <c r="P40" s="92"/>
      <c r="Q40" s="128"/>
      <c r="R40" s="128"/>
      <c r="S40" s="92"/>
      <c r="T40" s="92"/>
      <c r="U40" s="92"/>
      <c r="V40" s="129"/>
    </row>
    <row r="41" spans="1:22" ht="9.75">
      <c r="A41" s="92">
        <f t="shared" si="0"/>
        <v>29</v>
      </c>
      <c r="B41" s="73" t="s">
        <v>458</v>
      </c>
      <c r="E41" s="96">
        <v>1.63188</v>
      </c>
      <c r="F41" s="92">
        <v>1.63188</v>
      </c>
      <c r="G41" s="92">
        <v>1.63188</v>
      </c>
      <c r="H41" s="92">
        <v>1.63188</v>
      </c>
      <c r="I41" s="130">
        <v>1.6318755155285858</v>
      </c>
      <c r="J41" s="92">
        <v>1.63188</v>
      </c>
      <c r="K41" s="92">
        <v>1.63188</v>
      </c>
      <c r="L41" s="92">
        <v>1.63188</v>
      </c>
      <c r="M41" s="92">
        <v>1.63188</v>
      </c>
      <c r="N41" s="92">
        <v>1.63188</v>
      </c>
      <c r="O41" s="92">
        <v>1.63188</v>
      </c>
      <c r="P41" s="92">
        <v>1.63188</v>
      </c>
      <c r="Q41" s="128">
        <v>1.63188</v>
      </c>
      <c r="R41" s="92">
        <v>1.63188</v>
      </c>
      <c r="S41" s="131">
        <v>1.63188</v>
      </c>
      <c r="T41" s="92">
        <v>1.63188</v>
      </c>
      <c r="U41" s="92">
        <v>1.63188</v>
      </c>
      <c r="V41" s="128">
        <v>1.63188</v>
      </c>
    </row>
    <row r="42" spans="1:25" ht="15">
      <c r="A42" s="92">
        <f t="shared" si="0"/>
        <v>30</v>
      </c>
      <c r="E42" s="92"/>
      <c r="F42" s="92"/>
      <c r="G42" s="92"/>
      <c r="H42" s="92"/>
      <c r="I42" s="97"/>
      <c r="J42" s="92"/>
      <c r="K42" s="92"/>
      <c r="L42" s="92"/>
      <c r="M42" s="92"/>
      <c r="N42" s="92"/>
      <c r="O42" s="92"/>
      <c r="P42" s="92"/>
      <c r="Q42" s="128"/>
      <c r="R42" s="128"/>
      <c r="S42" s="92"/>
      <c r="T42" s="92"/>
      <c r="U42" s="92"/>
      <c r="V42" s="129"/>
      <c r="W42" s="132"/>
      <c r="X42" s="132"/>
      <c r="Y42" s="132"/>
    </row>
    <row r="43" spans="1:25" ht="15" thickBot="1">
      <c r="A43" s="92">
        <f t="shared" si="0"/>
        <v>31</v>
      </c>
      <c r="B43" s="73" t="s">
        <v>457</v>
      </c>
      <c r="E43" s="133">
        <f>-E36*E41</f>
        <v>-646.6712269742578</v>
      </c>
      <c r="F43" s="133">
        <f aca="true" t="shared" si="6" ref="F43:L43">-F36*F41</f>
        <v>-2908.754824745992</v>
      </c>
      <c r="G43" s="133">
        <f t="shared" si="6"/>
        <v>158.67730695993492</v>
      </c>
      <c r="H43" s="133">
        <f t="shared" si="6"/>
        <v>1990.097332656605</v>
      </c>
      <c r="I43" s="134">
        <f t="shared" si="6"/>
        <v>-483.663930909139</v>
      </c>
      <c r="J43" s="133">
        <f t="shared" si="6"/>
        <v>-732.6494913857402</v>
      </c>
      <c r="K43" s="133">
        <f t="shared" si="6"/>
        <v>7657.10305739978</v>
      </c>
      <c r="L43" s="133">
        <f t="shared" si="6"/>
        <v>-1676.3338396563668</v>
      </c>
      <c r="M43" s="133">
        <f>-M36*M41</f>
        <v>951.7337364564582</v>
      </c>
      <c r="N43" s="133">
        <f>-N36*N41</f>
        <v>-92.76956154708358</v>
      </c>
      <c r="O43" s="133">
        <f>-O36*O41</f>
        <v>6095.926815256235</v>
      </c>
      <c r="P43" s="133">
        <f>-P36*P41</f>
        <v>63.19664162217528</v>
      </c>
      <c r="Q43" s="135">
        <f>SUM(E43:P43)</f>
        <v>10375.892015132607</v>
      </c>
      <c r="R43" s="135">
        <f>Q43-I43</f>
        <v>10859.555946041746</v>
      </c>
      <c r="S43" s="133">
        <f>-S36*S41</f>
        <v>-1723.5554570197553</v>
      </c>
      <c r="T43" s="133">
        <f>-T36*T41</f>
        <v>10728.77990946061</v>
      </c>
      <c r="U43" s="133">
        <f>-U36*U41</f>
        <v>2580.358144580409</v>
      </c>
      <c r="V43" s="136"/>
      <c r="W43" s="132"/>
      <c r="X43" s="132"/>
      <c r="Y43" s="132"/>
    </row>
    <row r="44" spans="1:27" ht="15" customHeight="1" thickTop="1">
      <c r="A44" s="92">
        <f t="shared" si="0"/>
        <v>32</v>
      </c>
      <c r="D44" s="137" t="s">
        <v>459</v>
      </c>
      <c r="E44" s="92" t="s">
        <v>460</v>
      </c>
      <c r="F44" s="92" t="s">
        <v>461</v>
      </c>
      <c r="G44" s="92" t="s">
        <v>462</v>
      </c>
      <c r="H44" s="92" t="s">
        <v>463</v>
      </c>
      <c r="I44" s="99" t="s">
        <v>464</v>
      </c>
      <c r="J44" s="92" t="s">
        <v>465</v>
      </c>
      <c r="K44" s="92" t="s">
        <v>466</v>
      </c>
      <c r="L44" s="92" t="s">
        <v>467</v>
      </c>
      <c r="M44" s="92" t="s">
        <v>468</v>
      </c>
      <c r="N44" s="92" t="s">
        <v>469</v>
      </c>
      <c r="O44" s="92" t="s">
        <v>470</v>
      </c>
      <c r="P44" s="92" t="s">
        <v>471</v>
      </c>
      <c r="Q44" s="92"/>
      <c r="R44" s="92"/>
      <c r="S44" s="92"/>
      <c r="T44" s="92"/>
      <c r="U44" s="92"/>
      <c r="V44" s="92"/>
      <c r="Y44" s="132"/>
      <c r="Z44" s="132"/>
      <c r="AA44" s="132"/>
    </row>
    <row r="45" spans="1:27" ht="15" customHeight="1">
      <c r="A45" s="92">
        <f t="shared" si="0"/>
        <v>33</v>
      </c>
      <c r="B45" s="73" t="s">
        <v>472</v>
      </c>
      <c r="I45" s="99" t="s">
        <v>473</v>
      </c>
      <c r="Q45" s="69"/>
      <c r="R45" s="69"/>
      <c r="Y45" s="132"/>
      <c r="Z45" s="132"/>
      <c r="AA45" s="132"/>
    </row>
    <row r="46" spans="1:25" ht="15" customHeight="1">
      <c r="A46" s="92">
        <f t="shared" si="0"/>
        <v>34</v>
      </c>
      <c r="B46" s="73" t="s">
        <v>474</v>
      </c>
      <c r="I46" s="97" t="s">
        <v>475</v>
      </c>
      <c r="Y46" s="138"/>
    </row>
    <row r="47" spans="1:25" ht="15" customHeight="1">
      <c r="A47" s="92">
        <f t="shared" si="0"/>
        <v>35</v>
      </c>
      <c r="B47" s="139" t="s">
        <v>476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Y47" s="132"/>
    </row>
    <row r="48" spans="1:24" ht="9" customHeight="1">
      <c r="A48" s="92">
        <f t="shared" si="0"/>
        <v>36</v>
      </c>
      <c r="C48" s="261" t="s">
        <v>477</v>
      </c>
      <c r="S48" s="132"/>
      <c r="T48" s="132"/>
      <c r="U48" s="132"/>
      <c r="V48" s="132"/>
      <c r="W48" s="132"/>
      <c r="X48" s="132"/>
    </row>
    <row r="49" spans="1:24" ht="11.25" customHeight="1">
      <c r="A49" s="92">
        <f t="shared" si="0"/>
        <v>37</v>
      </c>
      <c r="B49" s="73" t="s">
        <v>210</v>
      </c>
      <c r="C49" s="261"/>
      <c r="D49" s="140" t="s">
        <v>219</v>
      </c>
      <c r="E49" s="92" t="s">
        <v>478</v>
      </c>
      <c r="F49" s="141" t="s">
        <v>479</v>
      </c>
      <c r="G49" s="141" t="s">
        <v>479</v>
      </c>
      <c r="H49" s="262" t="s">
        <v>480</v>
      </c>
      <c r="I49" s="92"/>
      <c r="S49" s="132"/>
      <c r="T49" s="132"/>
      <c r="U49" s="132"/>
      <c r="V49" s="132"/>
      <c r="W49" s="132"/>
      <c r="X49" s="132"/>
    </row>
    <row r="50" spans="1:24" ht="11.25" customHeight="1">
      <c r="A50" s="92">
        <f t="shared" si="0"/>
        <v>38</v>
      </c>
      <c r="B50" s="142" t="s">
        <v>481</v>
      </c>
      <c r="C50" s="261"/>
      <c r="D50" s="142" t="s">
        <v>482</v>
      </c>
      <c r="E50" s="143" t="s">
        <v>483</v>
      </c>
      <c r="F50" s="143" t="s">
        <v>484</v>
      </c>
      <c r="G50" s="143" t="s">
        <v>485</v>
      </c>
      <c r="H50" s="263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132"/>
      <c r="T50" s="132"/>
      <c r="U50" s="132"/>
      <c r="V50" s="132"/>
      <c r="W50" s="132"/>
      <c r="X50" s="132"/>
    </row>
    <row r="51" spans="1:24" ht="11.25" customHeight="1">
      <c r="A51" s="92">
        <f t="shared" si="0"/>
        <v>39</v>
      </c>
      <c r="B51" s="73" t="s">
        <v>210</v>
      </c>
      <c r="C51" s="261"/>
      <c r="S51" s="132"/>
      <c r="T51" s="132"/>
      <c r="U51" s="132"/>
      <c r="V51" s="132"/>
      <c r="W51" s="132"/>
      <c r="X51" s="132"/>
    </row>
    <row r="52" spans="1:9" ht="15" customHeight="1">
      <c r="A52" s="92">
        <f t="shared" si="0"/>
        <v>40</v>
      </c>
      <c r="B52" s="73" t="s">
        <v>486</v>
      </c>
      <c r="C52" s="92">
        <v>1</v>
      </c>
      <c r="D52" s="92">
        <v>1</v>
      </c>
      <c r="E52" s="68">
        <v>-646.767119375</v>
      </c>
      <c r="F52" s="144">
        <v>0.99747546</v>
      </c>
      <c r="G52" s="68">
        <f>E52*F52</f>
        <v>-645.134329911453</v>
      </c>
      <c r="H52" s="145" t="s">
        <v>381</v>
      </c>
      <c r="I52" s="69"/>
    </row>
    <row r="53" spans="1:9" ht="15" customHeight="1">
      <c r="A53" s="92">
        <f t="shared" si="0"/>
        <v>41</v>
      </c>
      <c r="B53" s="166" t="s">
        <v>487</v>
      </c>
      <c r="C53" s="92">
        <v>2</v>
      </c>
      <c r="D53" s="92">
        <v>2</v>
      </c>
      <c r="E53" s="68">
        <v>-2946.6380910999997</v>
      </c>
      <c r="F53" s="144">
        <v>0.98479749</v>
      </c>
      <c r="G53" s="68">
        <f>E53*F53</f>
        <v>-2901.8417960536713</v>
      </c>
      <c r="H53" s="145" t="s">
        <v>382</v>
      </c>
      <c r="I53" s="165" t="s">
        <v>504</v>
      </c>
    </row>
    <row r="54" spans="1:9" ht="12">
      <c r="A54" s="92">
        <f t="shared" si="0"/>
        <v>42</v>
      </c>
      <c r="B54" s="146" t="s">
        <v>488</v>
      </c>
      <c r="C54" s="96"/>
      <c r="D54" s="92">
        <v>4</v>
      </c>
      <c r="E54" s="147" t="s">
        <v>489</v>
      </c>
      <c r="F54" s="148" t="s">
        <v>489</v>
      </c>
      <c r="G54" s="68">
        <v>-50.148638427354264</v>
      </c>
      <c r="H54" s="145"/>
      <c r="I54" s="69"/>
    </row>
    <row r="55" spans="1:9" ht="12">
      <c r="A55" s="92">
        <f t="shared" si="0"/>
        <v>43</v>
      </c>
      <c r="B55" s="146" t="s">
        <v>490</v>
      </c>
      <c r="C55" s="96"/>
      <c r="D55" s="96">
        <v>4</v>
      </c>
      <c r="E55" s="147" t="s">
        <v>489</v>
      </c>
      <c r="F55" s="148" t="s">
        <v>489</v>
      </c>
      <c r="G55" s="147">
        <f>G56-G54</f>
        <v>132.32145842764862</v>
      </c>
      <c r="H55" s="145"/>
      <c r="I55" s="69"/>
    </row>
    <row r="56" spans="1:9" ht="13.5" customHeight="1">
      <c r="A56" s="92">
        <f t="shared" si="0"/>
        <v>44</v>
      </c>
      <c r="B56" s="146" t="s">
        <v>491</v>
      </c>
      <c r="C56" s="96">
        <v>4</v>
      </c>
      <c r="D56" s="96">
        <v>4</v>
      </c>
      <c r="E56" s="147" t="s">
        <v>489</v>
      </c>
      <c r="F56" s="148" t="s">
        <v>489</v>
      </c>
      <c r="G56" s="147">
        <v>82.17282000029437</v>
      </c>
      <c r="H56" s="145" t="s">
        <v>383</v>
      </c>
      <c r="I56" s="69"/>
    </row>
    <row r="57" spans="1:9" ht="15" customHeight="1">
      <c r="A57" s="92">
        <f t="shared" si="0"/>
        <v>45</v>
      </c>
      <c r="B57" s="73" t="s">
        <v>492</v>
      </c>
      <c r="C57" s="92">
        <v>5</v>
      </c>
      <c r="D57" s="92">
        <v>5</v>
      </c>
      <c r="E57" s="68">
        <v>2025</v>
      </c>
      <c r="F57" s="144">
        <v>0.98042845</v>
      </c>
      <c r="G57" s="68">
        <f aca="true" t="shared" si="7" ref="G57:G66">E57*F57</f>
        <v>1985.36761125</v>
      </c>
      <c r="H57" s="145" t="s">
        <v>384</v>
      </c>
      <c r="I57" s="69"/>
    </row>
    <row r="58" spans="1:12" ht="15" customHeight="1">
      <c r="A58" s="92">
        <f t="shared" si="0"/>
        <v>46</v>
      </c>
      <c r="B58" s="146" t="s">
        <v>493</v>
      </c>
      <c r="C58" s="96">
        <v>18</v>
      </c>
      <c r="D58" s="92">
        <v>18</v>
      </c>
      <c r="E58" s="149"/>
      <c r="F58" s="150"/>
      <c r="G58" s="68">
        <v>-331.3415638530714</v>
      </c>
      <c r="H58" s="264" t="s">
        <v>503</v>
      </c>
      <c r="I58" s="264"/>
      <c r="J58" s="264"/>
      <c r="K58" s="264"/>
      <c r="L58" s="264"/>
    </row>
    <row r="59" spans="1:12" ht="13.5" customHeight="1">
      <c r="A59" s="92">
        <f t="shared" si="0"/>
        <v>47</v>
      </c>
      <c r="B59" s="73" t="s">
        <v>494</v>
      </c>
      <c r="C59" s="92">
        <v>18</v>
      </c>
      <c r="D59" s="92">
        <v>18</v>
      </c>
      <c r="E59" s="149"/>
      <c r="F59" s="150"/>
      <c r="G59" s="68">
        <v>-211.73586426129623</v>
      </c>
      <c r="H59" s="264"/>
      <c r="I59" s="264"/>
      <c r="J59" s="264"/>
      <c r="K59" s="264"/>
      <c r="L59" s="264"/>
    </row>
    <row r="60" spans="1:9" ht="15" customHeight="1">
      <c r="A60" s="92">
        <f t="shared" si="0"/>
        <v>48</v>
      </c>
      <c r="B60" s="73" t="s">
        <v>495</v>
      </c>
      <c r="C60" s="92">
        <v>15</v>
      </c>
      <c r="D60" s="92">
        <v>15</v>
      </c>
      <c r="E60" s="68">
        <v>-742.1914285714286</v>
      </c>
      <c r="F60" s="144">
        <v>0.98479749</v>
      </c>
      <c r="G60" s="68">
        <f t="shared" si="7"/>
        <v>-730.9082559566572</v>
      </c>
      <c r="H60" s="145" t="s">
        <v>386</v>
      </c>
      <c r="I60" s="165" t="s">
        <v>364</v>
      </c>
    </row>
    <row r="61" spans="1:18" ht="15">
      <c r="A61" s="92">
        <f t="shared" si="0"/>
        <v>49</v>
      </c>
      <c r="B61" s="146" t="s">
        <v>496</v>
      </c>
      <c r="C61" s="96">
        <v>7</v>
      </c>
      <c r="D61" s="92">
        <v>7</v>
      </c>
      <c r="E61" s="149"/>
      <c r="F61" s="150"/>
      <c r="G61" s="68">
        <v>7638.904970477661</v>
      </c>
      <c r="H61" s="151" t="s">
        <v>387</v>
      </c>
      <c r="I61" s="132"/>
      <c r="J61" s="132"/>
      <c r="K61" s="132"/>
      <c r="L61" s="132"/>
      <c r="M61" s="132"/>
      <c r="N61" s="132"/>
      <c r="O61" s="132"/>
      <c r="P61" s="132"/>
      <c r="Q61" s="132"/>
      <c r="R61" s="132"/>
    </row>
    <row r="62" spans="1:18" ht="15">
      <c r="A62" s="92">
        <f t="shared" si="0"/>
        <v>50</v>
      </c>
      <c r="B62" s="73" t="s">
        <v>497</v>
      </c>
      <c r="C62" s="92" t="s">
        <v>498</v>
      </c>
      <c r="D62" s="92">
        <v>9</v>
      </c>
      <c r="E62" s="68">
        <v>1672.3498174098495</v>
      </c>
      <c r="F62" s="144">
        <v>1</v>
      </c>
      <c r="G62" s="68">
        <f t="shared" si="7"/>
        <v>1672.3498174098495</v>
      </c>
      <c r="H62" s="151" t="s">
        <v>388</v>
      </c>
      <c r="I62" s="132"/>
      <c r="J62" s="132"/>
      <c r="K62" s="132"/>
      <c r="L62" s="132"/>
      <c r="M62" s="132"/>
      <c r="N62" s="132"/>
      <c r="O62" s="132"/>
      <c r="P62" s="132"/>
      <c r="Q62" s="132"/>
      <c r="R62" s="132"/>
    </row>
    <row r="63" spans="1:9" ht="15" customHeight="1">
      <c r="A63" s="92">
        <f t="shared" si="0"/>
        <v>51</v>
      </c>
      <c r="B63" s="73" t="s">
        <v>499</v>
      </c>
      <c r="C63" s="92">
        <v>14</v>
      </c>
      <c r="D63" s="92">
        <v>14</v>
      </c>
      <c r="E63" s="68">
        <v>964.129</v>
      </c>
      <c r="F63" s="144">
        <f>F60</f>
        <v>0.98479749</v>
      </c>
      <c r="G63" s="68">
        <f>E63*F63</f>
        <v>949.4718192362101</v>
      </c>
      <c r="H63" s="151" t="s">
        <v>389</v>
      </c>
      <c r="I63" s="165" t="s">
        <v>364</v>
      </c>
    </row>
    <row r="64" spans="1:18" ht="15">
      <c r="A64" s="92">
        <f t="shared" si="0"/>
        <v>52</v>
      </c>
      <c r="B64" s="146" t="s">
        <v>500</v>
      </c>
      <c r="C64" s="96">
        <v>17</v>
      </c>
      <c r="D64" s="96">
        <v>17</v>
      </c>
      <c r="E64" s="68">
        <v>-94.25125</v>
      </c>
      <c r="F64" s="144">
        <v>0.98194011</v>
      </c>
      <c r="G64" s="68">
        <f t="shared" si="7"/>
        <v>-92.5490827926375</v>
      </c>
      <c r="H64" s="151" t="s">
        <v>390</v>
      </c>
      <c r="I64" s="132"/>
      <c r="J64" s="132"/>
      <c r="K64" s="132"/>
      <c r="L64" s="132"/>
      <c r="M64" s="132"/>
      <c r="N64" s="132"/>
      <c r="O64" s="132"/>
      <c r="P64" s="132"/>
      <c r="Q64" s="132"/>
      <c r="R64" s="132"/>
    </row>
    <row r="65" spans="1:18" ht="15">
      <c r="A65" s="92">
        <f t="shared" si="0"/>
        <v>53</v>
      </c>
      <c r="B65" s="146" t="s">
        <v>501</v>
      </c>
      <c r="C65" s="96">
        <v>10</v>
      </c>
      <c r="D65" s="96">
        <v>10</v>
      </c>
      <c r="E65" s="149"/>
      <c r="F65" s="150"/>
      <c r="G65" s="68">
        <v>6081.439063788961</v>
      </c>
      <c r="H65" s="151" t="s">
        <v>391</v>
      </c>
      <c r="I65" s="132"/>
      <c r="J65" s="132"/>
      <c r="K65" s="132"/>
      <c r="L65" s="132"/>
      <c r="M65" s="132"/>
      <c r="N65" s="132"/>
      <c r="O65" s="132"/>
      <c r="P65" s="132"/>
      <c r="Q65" s="132"/>
      <c r="R65" s="132"/>
    </row>
    <row r="66" spans="1:18" ht="15">
      <c r="A66" s="92">
        <f t="shared" si="0"/>
        <v>54</v>
      </c>
      <c r="B66" s="146" t="s">
        <v>502</v>
      </c>
      <c r="C66" s="96">
        <v>11</v>
      </c>
      <c r="D66" s="96">
        <v>11</v>
      </c>
      <c r="E66" s="68">
        <v>64.20599999999999</v>
      </c>
      <c r="F66" s="144">
        <v>0.98194011</v>
      </c>
      <c r="G66" s="68">
        <f t="shared" si="7"/>
        <v>63.04644670265999</v>
      </c>
      <c r="H66" s="151" t="s">
        <v>392</v>
      </c>
      <c r="I66" s="132"/>
      <c r="J66" s="132"/>
      <c r="K66" s="132"/>
      <c r="L66" s="132"/>
      <c r="M66" s="132"/>
      <c r="N66" s="132"/>
      <c r="O66" s="132"/>
      <c r="P66" s="132"/>
      <c r="Q66" s="132"/>
      <c r="R66" s="132"/>
    </row>
  </sheetData>
  <sheetProtection/>
  <mergeCells count="3">
    <mergeCell ref="C48:C51"/>
    <mergeCell ref="H49:H50"/>
    <mergeCell ref="H58:L59"/>
  </mergeCells>
  <printOptions/>
  <pageMargins left="0.75" right="0.75" top="1" bottom="1" header="0.5" footer="0.5"/>
  <pageSetup horizontalDpi="600" verticalDpi="600" orientation="landscape" scale="60" r:id="rId1"/>
  <rowBreaks count="1" manualBreakCount="1">
    <brk id="47" max="21" man="1"/>
  </rowBreaks>
  <colBreaks count="2" manualBreakCount="2">
    <brk id="14" min="2" max="65" man="1"/>
    <brk id="2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1"/>
  <sheetViews>
    <sheetView zoomScalePageLayoutView="0" workbookViewId="0" topLeftCell="A1">
      <selection activeCell="B2" sqref="B1:B2"/>
    </sheetView>
  </sheetViews>
  <sheetFormatPr defaultColWidth="9.140625" defaultRowHeight="12.75"/>
  <cols>
    <col min="1" max="1" width="3.7109375" style="9" customWidth="1"/>
    <col min="2" max="2" width="13.421875" style="11" customWidth="1"/>
    <col min="3" max="3" width="49.140625" style="3" bestFit="1" customWidth="1"/>
    <col min="4" max="5" width="14.28125" style="4" bestFit="1" customWidth="1"/>
    <col min="6" max="6" width="2.7109375" style="11" customWidth="1"/>
    <col min="7" max="7" width="8.7109375" style="11" customWidth="1"/>
    <col min="8" max="8" width="4.7109375" style="11" customWidth="1"/>
    <col min="9" max="9" width="10.7109375" style="11" customWidth="1"/>
    <col min="10" max="16384" width="9.140625" style="3" customWidth="1"/>
  </cols>
  <sheetData>
    <row r="1" ht="15">
      <c r="B1" s="268" t="s">
        <v>1123</v>
      </c>
    </row>
    <row r="2" ht="15">
      <c r="B2" s="268" t="s">
        <v>1116</v>
      </c>
    </row>
    <row r="4" spans="1:9" s="71" customFormat="1" ht="9.75">
      <c r="A4" s="9"/>
      <c r="B4" s="11"/>
      <c r="C4" s="3"/>
      <c r="D4" s="4"/>
      <c r="E4" s="4"/>
      <c r="F4" s="11"/>
      <c r="G4" s="11"/>
      <c r="H4" s="11"/>
      <c r="I4" s="11"/>
    </row>
    <row r="5" spans="1:9" s="71" customFormat="1" ht="10.5" thickBot="1">
      <c r="A5" s="214" t="s">
        <v>832</v>
      </c>
      <c r="B5" s="214" t="s">
        <v>833</v>
      </c>
      <c r="C5" s="214" t="s">
        <v>834</v>
      </c>
      <c r="D5" s="63" t="s">
        <v>835</v>
      </c>
      <c r="E5" s="63" t="s">
        <v>417</v>
      </c>
      <c r="F5" s="11"/>
      <c r="G5" s="63" t="s">
        <v>836</v>
      </c>
      <c r="H5" s="63" t="s">
        <v>837</v>
      </c>
      <c r="I5" s="63" t="s">
        <v>838</v>
      </c>
    </row>
    <row r="6" spans="1:9" s="71" customFormat="1" ht="9.75">
      <c r="A6" s="9"/>
      <c r="B6" s="11"/>
      <c r="C6" s="3"/>
      <c r="D6" s="4"/>
      <c r="E6" s="4"/>
      <c r="F6" s="11"/>
      <c r="G6" s="11"/>
      <c r="H6" s="11"/>
      <c r="I6" s="11"/>
    </row>
    <row r="7" spans="1:9" s="71" customFormat="1" ht="9.75">
      <c r="A7" s="9"/>
      <c r="B7" s="11"/>
      <c r="C7" s="215" t="s">
        <v>839</v>
      </c>
      <c r="D7" s="4"/>
      <c r="E7" s="4"/>
      <c r="F7" s="11"/>
      <c r="G7" s="11"/>
      <c r="H7" s="11"/>
      <c r="I7" s="11"/>
    </row>
    <row r="8" spans="1:9" s="71" customFormat="1" ht="9.75">
      <c r="A8" s="9">
        <v>1</v>
      </c>
      <c r="B8" s="9" t="s">
        <v>840</v>
      </c>
      <c r="C8" s="8" t="s">
        <v>841</v>
      </c>
      <c r="D8" s="216">
        <v>-660417207.4161538</v>
      </c>
      <c r="E8" s="216">
        <v>-1846081398.8046155</v>
      </c>
      <c r="F8" s="11"/>
      <c r="G8" s="11" t="s">
        <v>842</v>
      </c>
      <c r="H8" s="11">
        <v>-1</v>
      </c>
      <c r="I8" s="11" t="s">
        <v>843</v>
      </c>
    </row>
    <row r="9" spans="1:9" s="71" customFormat="1" ht="9.75">
      <c r="A9" s="9">
        <v>2</v>
      </c>
      <c r="B9" s="9" t="s">
        <v>844</v>
      </c>
      <c r="C9" s="8" t="s">
        <v>845</v>
      </c>
      <c r="D9" s="216">
        <v>-5049615.199230769</v>
      </c>
      <c r="E9" s="216">
        <v>-15811856.770000001</v>
      </c>
      <c r="F9" s="11"/>
      <c r="G9" s="11" t="s">
        <v>842</v>
      </c>
      <c r="H9" s="11">
        <v>-1</v>
      </c>
      <c r="I9" s="11" t="s">
        <v>843</v>
      </c>
    </row>
    <row r="10" spans="1:9" s="71" customFormat="1" ht="9.75">
      <c r="A10" s="9">
        <v>3</v>
      </c>
      <c r="B10" s="9" t="s">
        <v>846</v>
      </c>
      <c r="C10" s="8" t="s">
        <v>847</v>
      </c>
      <c r="D10" s="216">
        <v>174444020</v>
      </c>
      <c r="E10" s="216">
        <v>168239300</v>
      </c>
      <c r="F10" s="11"/>
      <c r="G10" s="11" t="s">
        <v>848</v>
      </c>
      <c r="H10" s="11">
        <v>1</v>
      </c>
      <c r="I10" s="11" t="s">
        <v>849</v>
      </c>
    </row>
    <row r="11" spans="1:13" s="71" customFormat="1" ht="9.75">
      <c r="A11" s="9">
        <v>4</v>
      </c>
      <c r="B11" s="9" t="s">
        <v>850</v>
      </c>
      <c r="C11" s="8" t="s">
        <v>851</v>
      </c>
      <c r="D11" s="216">
        <v>-151812378.35999998</v>
      </c>
      <c r="E11" s="216">
        <v>0</v>
      </c>
      <c r="F11" s="11"/>
      <c r="G11" s="11" t="s">
        <v>842</v>
      </c>
      <c r="H11" s="11">
        <v>-1</v>
      </c>
      <c r="I11" s="11" t="s">
        <v>843</v>
      </c>
      <c r="L11" s="216" t="s">
        <v>210</v>
      </c>
      <c r="M11" s="216" t="s">
        <v>210</v>
      </c>
    </row>
    <row r="12" spans="1:9" s="71" customFormat="1" ht="9.75">
      <c r="A12" s="9">
        <v>5</v>
      </c>
      <c r="B12" s="217" t="s">
        <v>852</v>
      </c>
      <c r="C12" s="8" t="s">
        <v>853</v>
      </c>
      <c r="D12" s="216">
        <v>-45647003.6807702</v>
      </c>
      <c r="E12" s="216">
        <v>-45766267.029377975</v>
      </c>
      <c r="F12" s="11"/>
      <c r="G12" s="11" t="s">
        <v>842</v>
      </c>
      <c r="H12" s="11">
        <v>-1</v>
      </c>
      <c r="I12" s="11" t="s">
        <v>843</v>
      </c>
    </row>
    <row r="13" spans="1:9" s="71" customFormat="1" ht="9.75">
      <c r="A13" s="9">
        <v>6</v>
      </c>
      <c r="B13" s="217" t="s">
        <v>854</v>
      </c>
      <c r="C13" s="8" t="s">
        <v>855</v>
      </c>
      <c r="D13" s="216">
        <v>-86091332.58574684</v>
      </c>
      <c r="E13" s="216">
        <v>-15364859.385208623</v>
      </c>
      <c r="F13" s="11"/>
      <c r="G13" s="11" t="s">
        <v>842</v>
      </c>
      <c r="H13" s="11">
        <v>-1</v>
      </c>
      <c r="I13" s="11" t="s">
        <v>843</v>
      </c>
    </row>
    <row r="14" spans="1:9" s="71" customFormat="1" ht="9.75">
      <c r="A14" s="9">
        <v>7</v>
      </c>
      <c r="B14" s="167" t="s">
        <v>856</v>
      </c>
      <c r="C14" s="168" t="s">
        <v>857</v>
      </c>
      <c r="D14" s="216">
        <v>-1049349078.8030769</v>
      </c>
      <c r="E14" s="216">
        <v>-338311011.7599994</v>
      </c>
      <c r="F14" s="11"/>
      <c r="G14" s="11" t="s">
        <v>842</v>
      </c>
      <c r="H14" s="11">
        <v>-1</v>
      </c>
      <c r="I14" s="11" t="s">
        <v>843</v>
      </c>
    </row>
    <row r="15" spans="1:9" s="71" customFormat="1" ht="9.75">
      <c r="A15" s="9">
        <v>8</v>
      </c>
      <c r="B15" s="9" t="s">
        <v>858</v>
      </c>
      <c r="C15" s="8" t="s">
        <v>859</v>
      </c>
      <c r="D15" s="216">
        <v>0</v>
      </c>
      <c r="E15" s="216">
        <v>0</v>
      </c>
      <c r="F15" s="11"/>
      <c r="G15" s="11" t="s">
        <v>842</v>
      </c>
      <c r="H15" s="11">
        <v>-1</v>
      </c>
      <c r="I15" s="11" t="s">
        <v>843</v>
      </c>
    </row>
    <row r="16" spans="1:9" s="71" customFormat="1" ht="9.75">
      <c r="A16" s="9">
        <v>9</v>
      </c>
      <c r="B16" s="167" t="s">
        <v>860</v>
      </c>
      <c r="C16" s="168" t="s">
        <v>861</v>
      </c>
      <c r="D16" s="216">
        <v>-1121262913.0105104</v>
      </c>
      <c r="E16" s="216">
        <v>-1451404657.8005595</v>
      </c>
      <c r="F16" s="11"/>
      <c r="G16" s="11" t="s">
        <v>842</v>
      </c>
      <c r="H16" s="11">
        <v>-1</v>
      </c>
      <c r="I16" s="11" t="s">
        <v>843</v>
      </c>
    </row>
    <row r="17" spans="1:9" s="71" customFormat="1" ht="9.75">
      <c r="A17" s="9">
        <v>10</v>
      </c>
      <c r="B17" s="9" t="s">
        <v>862</v>
      </c>
      <c r="C17" s="8" t="s">
        <v>863</v>
      </c>
      <c r="D17" s="216">
        <v>0</v>
      </c>
      <c r="E17" s="216">
        <v>0</v>
      </c>
      <c r="F17" s="11"/>
      <c r="G17" s="11" t="s">
        <v>842</v>
      </c>
      <c r="H17" s="11">
        <v>-1</v>
      </c>
      <c r="I17" s="11" t="s">
        <v>843</v>
      </c>
    </row>
    <row r="18" spans="1:9" s="71" customFormat="1" ht="9.75">
      <c r="A18" s="9">
        <v>11</v>
      </c>
      <c r="B18" s="167" t="s">
        <v>864</v>
      </c>
      <c r="C18" s="168" t="s">
        <v>865</v>
      </c>
      <c r="D18" s="216">
        <v>-31740375.389229007</v>
      </c>
      <c r="E18" s="216">
        <v>-61804472.980745584</v>
      </c>
      <c r="F18" s="11"/>
      <c r="G18" s="11" t="s">
        <v>842</v>
      </c>
      <c r="H18" s="11">
        <v>-1</v>
      </c>
      <c r="I18" s="11" t="s">
        <v>843</v>
      </c>
    </row>
    <row r="19" spans="1:9" s="71" customFormat="1" ht="9.75">
      <c r="A19" s="9">
        <v>12</v>
      </c>
      <c r="B19" s="167" t="s">
        <v>866</v>
      </c>
      <c r="C19" s="168" t="s">
        <v>867</v>
      </c>
      <c r="D19" s="216">
        <v>-8600193.543076921</v>
      </c>
      <c r="E19" s="216">
        <v>0</v>
      </c>
      <c r="F19" s="11"/>
      <c r="G19" s="11" t="s">
        <v>842</v>
      </c>
      <c r="H19" s="11">
        <v>-1</v>
      </c>
      <c r="I19" s="11" t="s">
        <v>843</v>
      </c>
    </row>
    <row r="20" spans="1:9" s="71" customFormat="1" ht="9.75">
      <c r="A20" s="9">
        <v>13</v>
      </c>
      <c r="B20" s="9" t="s">
        <v>868</v>
      </c>
      <c r="C20" s="8" t="s">
        <v>869</v>
      </c>
      <c r="D20" s="216">
        <v>0</v>
      </c>
      <c r="E20" s="216">
        <v>0</v>
      </c>
      <c r="F20" s="11"/>
      <c r="G20" s="11" t="s">
        <v>842</v>
      </c>
      <c r="H20" s="11">
        <v>-1</v>
      </c>
      <c r="I20" s="11" t="s">
        <v>843</v>
      </c>
    </row>
    <row r="21" spans="1:9" s="71" customFormat="1" ht="9.75">
      <c r="A21" s="167">
        <v>14</v>
      </c>
      <c r="B21" s="167" t="s">
        <v>870</v>
      </c>
      <c r="C21" s="168" t="s">
        <v>871</v>
      </c>
      <c r="D21" s="218">
        <v>4087409.621538461</v>
      </c>
      <c r="E21" s="218">
        <v>31008673.870769236</v>
      </c>
      <c r="F21" s="52"/>
      <c r="G21" s="52" t="s">
        <v>842</v>
      </c>
      <c r="H21" s="52">
        <v>-1</v>
      </c>
      <c r="I21" s="52" t="s">
        <v>843</v>
      </c>
    </row>
    <row r="22" spans="1:9" s="71" customFormat="1" ht="9.75">
      <c r="A22" s="167">
        <v>15</v>
      </c>
      <c r="B22" s="167" t="s">
        <v>872</v>
      </c>
      <c r="C22" s="168" t="s">
        <v>873</v>
      </c>
      <c r="D22" s="218">
        <v>34650.16692307692</v>
      </c>
      <c r="E22" s="218">
        <v>333517.33</v>
      </c>
      <c r="F22" s="52"/>
      <c r="G22" s="52" t="s">
        <v>842</v>
      </c>
      <c r="H22" s="52">
        <v>-1</v>
      </c>
      <c r="I22" s="52" t="s">
        <v>843</v>
      </c>
    </row>
    <row r="23" spans="1:9" s="71" customFormat="1" ht="9.75">
      <c r="A23" s="9">
        <v>16</v>
      </c>
      <c r="B23" s="9" t="s">
        <v>874</v>
      </c>
      <c r="C23" s="8" t="s">
        <v>875</v>
      </c>
      <c r="D23" s="216">
        <v>-360</v>
      </c>
      <c r="E23" s="216">
        <v>-360</v>
      </c>
      <c r="F23" s="11"/>
      <c r="G23" s="11" t="s">
        <v>848</v>
      </c>
      <c r="H23" s="11">
        <v>-1</v>
      </c>
      <c r="I23" s="11" t="s">
        <v>849</v>
      </c>
    </row>
    <row r="24" spans="1:9" s="71" customFormat="1" ht="9.75">
      <c r="A24" s="9">
        <v>17</v>
      </c>
      <c r="B24" s="9" t="s">
        <v>876</v>
      </c>
      <c r="C24" s="8" t="s">
        <v>877</v>
      </c>
      <c r="D24" s="216">
        <v>-22182436.403076924</v>
      </c>
      <c r="E24" s="216">
        <v>-24052999.230769232</v>
      </c>
      <c r="F24" s="11"/>
      <c r="G24" s="11" t="s">
        <v>848</v>
      </c>
      <c r="H24" s="11">
        <v>-1</v>
      </c>
      <c r="I24" s="11" t="s">
        <v>849</v>
      </c>
    </row>
    <row r="25" spans="1:9" s="71" customFormat="1" ht="9.75">
      <c r="A25" s="9">
        <v>18</v>
      </c>
      <c r="B25" s="9" t="s">
        <v>878</v>
      </c>
      <c r="C25" s="8" t="s">
        <v>879</v>
      </c>
      <c r="D25" s="216">
        <v>-10691905.554615386</v>
      </c>
      <c r="E25" s="216">
        <v>-10927728.610769233</v>
      </c>
      <c r="F25" s="11"/>
      <c r="G25" s="11" t="s">
        <v>848</v>
      </c>
      <c r="H25" s="11">
        <v>-1</v>
      </c>
      <c r="I25" s="11" t="s">
        <v>849</v>
      </c>
    </row>
    <row r="26" spans="1:9" s="71" customFormat="1" ht="9.75">
      <c r="A26" s="9">
        <v>19</v>
      </c>
      <c r="B26" s="217" t="s">
        <v>880</v>
      </c>
      <c r="C26" s="8" t="s">
        <v>881</v>
      </c>
      <c r="D26" s="216">
        <v>-4305975.3846153775</v>
      </c>
      <c r="E26" s="216">
        <v>-6049759.999999999</v>
      </c>
      <c r="F26" s="11"/>
      <c r="G26" s="11" t="s">
        <v>842</v>
      </c>
      <c r="H26" s="11">
        <v>-1</v>
      </c>
      <c r="I26" s="11" t="s">
        <v>882</v>
      </c>
    </row>
    <row r="27" spans="1:9" s="71" customFormat="1" ht="9.75">
      <c r="A27" s="9">
        <v>20</v>
      </c>
      <c r="B27" s="9" t="s">
        <v>883</v>
      </c>
      <c r="C27" s="8" t="s">
        <v>884</v>
      </c>
      <c r="D27" s="216">
        <v>-78477637.68238536</v>
      </c>
      <c r="E27" s="216">
        <v>-79635249.21114288</v>
      </c>
      <c r="F27" s="11"/>
      <c r="G27" s="11" t="s">
        <v>848</v>
      </c>
      <c r="H27" s="11">
        <v>-1</v>
      </c>
      <c r="I27" s="11" t="s">
        <v>849</v>
      </c>
    </row>
    <row r="28" spans="1:9" s="71" customFormat="1" ht="9.75">
      <c r="A28" s="9">
        <v>21</v>
      </c>
      <c r="B28" s="9" t="s">
        <v>885</v>
      </c>
      <c r="C28" s="8" t="s">
        <v>886</v>
      </c>
      <c r="D28" s="216">
        <v>140978.76538461537</v>
      </c>
      <c r="E28" s="216">
        <v>142837.27615384615</v>
      </c>
      <c r="F28" s="11"/>
      <c r="G28" s="11" t="s">
        <v>848</v>
      </c>
      <c r="H28" s="11">
        <v>1</v>
      </c>
      <c r="I28" s="11" t="s">
        <v>849</v>
      </c>
    </row>
    <row r="29" spans="1:9" s="71" customFormat="1" ht="9.75">
      <c r="A29" s="9">
        <v>22</v>
      </c>
      <c r="B29" s="9" t="s">
        <v>887</v>
      </c>
      <c r="C29" s="8" t="s">
        <v>888</v>
      </c>
      <c r="D29" s="216">
        <v>493174.8253846154</v>
      </c>
      <c r="E29" s="216">
        <v>0</v>
      </c>
      <c r="F29" s="11"/>
      <c r="G29" s="11" t="s">
        <v>848</v>
      </c>
      <c r="H29" s="11">
        <v>-1</v>
      </c>
      <c r="I29" s="11" t="s">
        <v>849</v>
      </c>
    </row>
    <row r="30" spans="1:9" s="71" customFormat="1" ht="9.75">
      <c r="A30" s="9">
        <v>23</v>
      </c>
      <c r="B30" s="9" t="s">
        <v>889</v>
      </c>
      <c r="C30" s="8" t="s">
        <v>890</v>
      </c>
      <c r="D30" s="216">
        <v>56289580</v>
      </c>
      <c r="E30" s="216">
        <v>57926620</v>
      </c>
      <c r="F30" s="11"/>
      <c r="G30" s="11" t="s">
        <v>848</v>
      </c>
      <c r="H30" s="11">
        <v>-1</v>
      </c>
      <c r="I30" s="11" t="s">
        <v>849</v>
      </c>
    </row>
    <row r="31" spans="1:9" s="71" customFormat="1" ht="9.75">
      <c r="A31" s="9">
        <v>24</v>
      </c>
      <c r="B31" s="217" t="s">
        <v>891</v>
      </c>
      <c r="C31" s="8" t="s">
        <v>892</v>
      </c>
      <c r="D31" s="216">
        <v>-20449956.061567847</v>
      </c>
      <c r="E31" s="216">
        <v>-78822762.74735402</v>
      </c>
      <c r="F31" s="11"/>
      <c r="G31" s="11" t="s">
        <v>842</v>
      </c>
      <c r="H31" s="11">
        <v>-1</v>
      </c>
      <c r="I31" s="11" t="s">
        <v>843</v>
      </c>
    </row>
    <row r="32" spans="1:9" s="71" customFormat="1" ht="9.75">
      <c r="A32" s="9">
        <v>25</v>
      </c>
      <c r="B32" s="217" t="s">
        <v>893</v>
      </c>
      <c r="C32" s="8" t="s">
        <v>894</v>
      </c>
      <c r="D32" s="216">
        <v>85208.1502565324</v>
      </c>
      <c r="E32" s="216">
        <v>1354027.0869204013</v>
      </c>
      <c r="F32" s="11"/>
      <c r="G32" s="11" t="s">
        <v>842</v>
      </c>
      <c r="H32" s="11">
        <v>-1</v>
      </c>
      <c r="I32" s="11" t="s">
        <v>843</v>
      </c>
    </row>
    <row r="33" spans="1:9" s="71" customFormat="1" ht="9.75">
      <c r="A33" s="9"/>
      <c r="B33" s="11"/>
      <c r="C33" s="3"/>
      <c r="D33" s="4"/>
      <c r="E33" s="4"/>
      <c r="F33" s="11"/>
      <c r="G33" s="11"/>
      <c r="H33" s="11"/>
      <c r="I33" s="11"/>
    </row>
    <row r="34" spans="1:9" s="71" customFormat="1" ht="9.75">
      <c r="A34" s="9"/>
      <c r="B34" s="11"/>
      <c r="C34" s="3"/>
      <c r="D34" s="4"/>
      <c r="E34" s="4"/>
      <c r="F34" s="11"/>
      <c r="G34" s="11"/>
      <c r="H34" s="11"/>
      <c r="I34" s="11"/>
    </row>
    <row r="35" spans="1:9" s="71" customFormat="1" ht="10.5" thickBot="1">
      <c r="A35" s="9"/>
      <c r="B35" s="167"/>
      <c r="C35" s="215" t="s">
        <v>895</v>
      </c>
      <c r="D35" s="63" t="s">
        <v>835</v>
      </c>
      <c r="E35" s="63" t="s">
        <v>417</v>
      </c>
      <c r="F35" s="11"/>
      <c r="G35" s="11"/>
      <c r="H35" s="11"/>
      <c r="I35" s="11"/>
    </row>
    <row r="36" spans="1:9" s="71" customFormat="1" ht="9.75">
      <c r="A36" s="9">
        <v>1</v>
      </c>
      <c r="B36" s="167" t="s">
        <v>896</v>
      </c>
      <c r="C36" s="168" t="s">
        <v>897</v>
      </c>
      <c r="D36" s="216">
        <v>0</v>
      </c>
      <c r="E36" s="216">
        <v>184257497.4374161</v>
      </c>
      <c r="F36" s="11"/>
      <c r="G36" s="11" t="s">
        <v>842</v>
      </c>
      <c r="H36" s="11">
        <v>1</v>
      </c>
      <c r="I36" s="11" t="s">
        <v>843</v>
      </c>
    </row>
    <row r="37" spans="1:9" s="71" customFormat="1" ht="9.75">
      <c r="A37" s="9">
        <v>2</v>
      </c>
      <c r="B37" s="167" t="s">
        <v>898</v>
      </c>
      <c r="C37" s="168" t="s">
        <v>899</v>
      </c>
      <c r="D37" s="216">
        <v>0</v>
      </c>
      <c r="E37" s="216">
        <v>0</v>
      </c>
      <c r="F37" s="11"/>
      <c r="G37" s="11" t="s">
        <v>842</v>
      </c>
      <c r="H37" s="11">
        <v>-1</v>
      </c>
      <c r="I37" s="11" t="s">
        <v>843</v>
      </c>
    </row>
    <row r="38" spans="1:9" s="71" customFormat="1" ht="9.75">
      <c r="A38" s="9">
        <v>3</v>
      </c>
      <c r="B38" s="167" t="s">
        <v>900</v>
      </c>
      <c r="C38" s="168" t="s">
        <v>901</v>
      </c>
      <c r="D38" s="216">
        <v>0</v>
      </c>
      <c r="E38" s="216">
        <v>-305867.44574611075</v>
      </c>
      <c r="F38" s="11"/>
      <c r="G38" s="11" t="s">
        <v>842</v>
      </c>
      <c r="H38" s="11">
        <v>-1</v>
      </c>
      <c r="I38" s="11" t="s">
        <v>843</v>
      </c>
    </row>
    <row r="39" spans="1:9" s="71" customFormat="1" ht="9.75">
      <c r="A39" s="9">
        <v>4</v>
      </c>
      <c r="B39" s="167" t="s">
        <v>902</v>
      </c>
      <c r="C39" s="168" t="s">
        <v>903</v>
      </c>
      <c r="D39" s="216">
        <v>0</v>
      </c>
      <c r="E39" s="216">
        <v>-5047744.713456194</v>
      </c>
      <c r="F39" s="11"/>
      <c r="G39" s="11" t="s">
        <v>842</v>
      </c>
      <c r="H39" s="11">
        <v>-1</v>
      </c>
      <c r="I39" s="11" t="s">
        <v>843</v>
      </c>
    </row>
    <row r="40" spans="1:9" s="71" customFormat="1" ht="9.75">
      <c r="A40" s="9">
        <v>5</v>
      </c>
      <c r="B40" s="167" t="s">
        <v>904</v>
      </c>
      <c r="C40" s="168" t="s">
        <v>905</v>
      </c>
      <c r="D40" s="216">
        <v>-13772892.09</v>
      </c>
      <c r="E40" s="216">
        <v>-36191032.620000005</v>
      </c>
      <c r="F40" s="11"/>
      <c r="G40" s="11" t="s">
        <v>842</v>
      </c>
      <c r="H40" s="11">
        <v>-1</v>
      </c>
      <c r="I40" s="11" t="s">
        <v>843</v>
      </c>
    </row>
    <row r="41" spans="1:9" s="71" customFormat="1" ht="9.75">
      <c r="A41" s="9">
        <v>6</v>
      </c>
      <c r="B41" s="167" t="s">
        <v>906</v>
      </c>
      <c r="C41" s="168" t="s">
        <v>907</v>
      </c>
      <c r="D41" s="216">
        <v>-10447.620769230769</v>
      </c>
      <c r="E41" s="216">
        <v>-30415.11692307693</v>
      </c>
      <c r="F41" s="11"/>
      <c r="G41" s="11" t="s">
        <v>842</v>
      </c>
      <c r="H41" s="11">
        <v>-1</v>
      </c>
      <c r="I41" s="11" t="s">
        <v>843</v>
      </c>
    </row>
    <row r="42" spans="1:9" s="71" customFormat="1" ht="9.75">
      <c r="A42" s="9">
        <v>7</v>
      </c>
      <c r="B42" s="167" t="s">
        <v>908</v>
      </c>
      <c r="C42" s="168" t="s">
        <v>909</v>
      </c>
      <c r="D42" s="216">
        <v>0</v>
      </c>
      <c r="E42" s="216">
        <v>-26085641.58888911</v>
      </c>
      <c r="F42" s="11"/>
      <c r="G42" s="11" t="s">
        <v>842</v>
      </c>
      <c r="H42" s="11">
        <v>-1</v>
      </c>
      <c r="I42" s="11" t="s">
        <v>843</v>
      </c>
    </row>
    <row r="43" spans="1:9" s="71" customFormat="1" ht="9.75">
      <c r="A43" s="9">
        <v>8</v>
      </c>
      <c r="B43" s="167" t="s">
        <v>910</v>
      </c>
      <c r="C43" s="168" t="s">
        <v>911</v>
      </c>
      <c r="D43" s="216">
        <v>0</v>
      </c>
      <c r="E43" s="216">
        <v>-132665.3981549396</v>
      </c>
      <c r="F43" s="11"/>
      <c r="G43" s="11" t="s">
        <v>842</v>
      </c>
      <c r="H43" s="11">
        <v>-1</v>
      </c>
      <c r="I43" s="11" t="s">
        <v>843</v>
      </c>
    </row>
    <row r="44" spans="1:9" s="71" customFormat="1" ht="9.75">
      <c r="A44" s="9">
        <v>9</v>
      </c>
      <c r="B44" s="167" t="s">
        <v>912</v>
      </c>
      <c r="C44" s="168" t="s">
        <v>913</v>
      </c>
      <c r="D44" s="216">
        <v>-4600306.21617</v>
      </c>
      <c r="E44" s="216">
        <v>-83284209.6577403</v>
      </c>
      <c r="F44" s="11"/>
      <c r="G44" s="11" t="s">
        <v>914</v>
      </c>
      <c r="H44" s="11">
        <v>-1</v>
      </c>
      <c r="I44" s="11" t="s">
        <v>849</v>
      </c>
    </row>
    <row r="45" spans="1:9" s="71" customFormat="1" ht="9.75">
      <c r="A45" s="9">
        <v>10</v>
      </c>
      <c r="B45" s="167" t="s">
        <v>915</v>
      </c>
      <c r="C45" s="168" t="s">
        <v>916</v>
      </c>
      <c r="D45" s="216">
        <v>-764979.1137999999</v>
      </c>
      <c r="E45" s="216">
        <v>-13849226.095769363</v>
      </c>
      <c r="F45" s="11"/>
      <c r="G45" s="11" t="s">
        <v>914</v>
      </c>
      <c r="H45" s="11">
        <v>-1</v>
      </c>
      <c r="I45" s="11" t="s">
        <v>849</v>
      </c>
    </row>
    <row r="46" spans="1:9" s="71" customFormat="1" ht="9.75">
      <c r="A46" s="9">
        <v>11</v>
      </c>
      <c r="B46" s="167" t="s">
        <v>728</v>
      </c>
      <c r="C46" s="168" t="s">
        <v>917</v>
      </c>
      <c r="D46" s="216">
        <v>-506957.40999999986</v>
      </c>
      <c r="E46" s="216">
        <v>-506957.40999999986</v>
      </c>
      <c r="F46" s="11"/>
      <c r="G46" s="11" t="s">
        <v>918</v>
      </c>
      <c r="H46" s="11">
        <v>-1</v>
      </c>
      <c r="I46" s="11" t="s">
        <v>849</v>
      </c>
    </row>
    <row r="47" spans="1:9" s="71" customFormat="1" ht="9.75">
      <c r="A47" s="9">
        <v>12</v>
      </c>
      <c r="B47" s="167" t="s">
        <v>731</v>
      </c>
      <c r="C47" s="168" t="s">
        <v>919</v>
      </c>
      <c r="D47" s="216">
        <v>-420157.71000000014</v>
      </c>
      <c r="E47" s="216">
        <v>-420157.71000000014</v>
      </c>
      <c r="F47" s="11"/>
      <c r="G47" s="11" t="s">
        <v>918</v>
      </c>
      <c r="H47" s="11">
        <v>-1</v>
      </c>
      <c r="I47" s="11" t="s">
        <v>849</v>
      </c>
    </row>
    <row r="48" spans="1:9" s="71" customFormat="1" ht="9.75">
      <c r="A48" s="9">
        <v>13</v>
      </c>
      <c r="B48" s="167" t="s">
        <v>730</v>
      </c>
      <c r="C48" s="168" t="s">
        <v>920</v>
      </c>
      <c r="D48" s="216">
        <v>-150000</v>
      </c>
      <c r="E48" s="216">
        <v>-150000</v>
      </c>
      <c r="F48" s="11"/>
      <c r="G48" s="11" t="s">
        <v>918</v>
      </c>
      <c r="H48" s="11">
        <v>-1</v>
      </c>
      <c r="I48" s="11" t="s">
        <v>849</v>
      </c>
    </row>
    <row r="49" spans="1:9" s="71" customFormat="1" ht="9.75">
      <c r="A49" s="167">
        <v>14</v>
      </c>
      <c r="B49" s="167" t="s">
        <v>732</v>
      </c>
      <c r="C49" s="168" t="s">
        <v>921</v>
      </c>
      <c r="D49" s="218">
        <v>-1659720</v>
      </c>
      <c r="E49" s="218">
        <v>-1659720</v>
      </c>
      <c r="F49" s="52"/>
      <c r="G49" s="52" t="s">
        <v>922</v>
      </c>
      <c r="H49" s="52">
        <v>-1</v>
      </c>
      <c r="I49" s="52" t="s">
        <v>849</v>
      </c>
    </row>
    <row r="50" spans="1:9" s="71" customFormat="1" ht="9.75">
      <c r="A50" s="9">
        <v>15</v>
      </c>
      <c r="B50" s="9" t="s">
        <v>923</v>
      </c>
      <c r="C50" s="8" t="s">
        <v>924</v>
      </c>
      <c r="D50" s="216">
        <v>-7232863.265550246</v>
      </c>
      <c r="E50" s="216">
        <v>-7980294.392539663</v>
      </c>
      <c r="F50" s="11"/>
      <c r="G50" s="11" t="s">
        <v>842</v>
      </c>
      <c r="H50" s="11">
        <v>-1</v>
      </c>
      <c r="I50" s="11" t="s">
        <v>925</v>
      </c>
    </row>
    <row r="51" spans="1:9" s="71" customFormat="1" ht="9.75">
      <c r="A51" s="9">
        <v>16</v>
      </c>
      <c r="B51" s="9" t="s">
        <v>926</v>
      </c>
      <c r="C51" s="8" t="s">
        <v>927</v>
      </c>
      <c r="D51" s="216">
        <v>-1202743.702510245</v>
      </c>
      <c r="E51" s="216">
        <v>-1327033.0811479413</v>
      </c>
      <c r="F51" s="11"/>
      <c r="G51" s="11" t="s">
        <v>842</v>
      </c>
      <c r="H51" s="11">
        <v>-1</v>
      </c>
      <c r="I51" s="11" t="s">
        <v>925</v>
      </c>
    </row>
    <row r="52" spans="1:9" s="71" customFormat="1" ht="9.75">
      <c r="A52" s="9">
        <v>17</v>
      </c>
      <c r="B52" s="167" t="s">
        <v>727</v>
      </c>
      <c r="C52" s="168" t="s">
        <v>928</v>
      </c>
      <c r="D52" s="216">
        <v>-36742514.15865</v>
      </c>
      <c r="E52" s="216">
        <v>-28897940.427649997</v>
      </c>
      <c r="F52" s="11"/>
      <c r="G52" s="11" t="s">
        <v>842</v>
      </c>
      <c r="H52" s="11">
        <v>-1</v>
      </c>
      <c r="I52" s="11" t="s">
        <v>929</v>
      </c>
    </row>
    <row r="53" spans="1:9" s="71" customFormat="1" ht="9.75">
      <c r="A53" s="9">
        <v>18</v>
      </c>
      <c r="B53" s="167" t="s">
        <v>729</v>
      </c>
      <c r="C53" s="168" t="s">
        <v>930</v>
      </c>
      <c r="D53" s="216">
        <v>-169599</v>
      </c>
      <c r="E53" s="216">
        <v>-169599</v>
      </c>
      <c r="F53" s="11"/>
      <c r="G53" s="11" t="s">
        <v>842</v>
      </c>
      <c r="H53" s="11">
        <v>-1</v>
      </c>
      <c r="I53" s="11" t="s">
        <v>931</v>
      </c>
    </row>
    <row r="54" spans="1:9" s="71" customFormat="1" ht="9.75">
      <c r="A54" s="9">
        <v>19</v>
      </c>
      <c r="B54" s="217" t="s">
        <v>932</v>
      </c>
      <c r="C54" s="8" t="s">
        <v>933</v>
      </c>
      <c r="D54" s="216">
        <v>-484621.3545840278</v>
      </c>
      <c r="E54" s="216">
        <v>-1940526.4163120398</v>
      </c>
      <c r="F54" s="11"/>
      <c r="G54" s="11" t="s">
        <v>842</v>
      </c>
      <c r="H54" s="11">
        <v>-1</v>
      </c>
      <c r="I54" s="11" t="s">
        <v>843</v>
      </c>
    </row>
    <row r="55" spans="1:9" s="71" customFormat="1" ht="9.75">
      <c r="A55" s="9">
        <v>20</v>
      </c>
      <c r="B55" s="217" t="s">
        <v>934</v>
      </c>
      <c r="C55" s="168" t="s">
        <v>935</v>
      </c>
      <c r="D55" s="216">
        <v>160288.51302866716</v>
      </c>
      <c r="E55" s="216">
        <v>641829.112195207</v>
      </c>
      <c r="F55" s="11"/>
      <c r="G55" s="11" t="s">
        <v>842</v>
      </c>
      <c r="H55" s="11">
        <v>-1</v>
      </c>
      <c r="I55" s="11" t="s">
        <v>936</v>
      </c>
    </row>
    <row r="56" spans="1:9" s="71" customFormat="1" ht="9.75">
      <c r="A56" s="9">
        <v>21</v>
      </c>
      <c r="B56" s="217" t="s">
        <v>937</v>
      </c>
      <c r="C56" s="168" t="s">
        <v>938</v>
      </c>
      <c r="D56" s="216">
        <v>26654.174502121525</v>
      </c>
      <c r="E56" s="216">
        <v>106728.95289716219</v>
      </c>
      <c r="F56" s="11"/>
      <c r="G56" s="11" t="s">
        <v>842</v>
      </c>
      <c r="H56" s="11">
        <v>-1</v>
      </c>
      <c r="I56" s="11" t="s">
        <v>936</v>
      </c>
    </row>
    <row r="57" spans="1:9" s="71" customFormat="1" ht="9.75">
      <c r="A57" s="9"/>
      <c r="B57" s="167"/>
      <c r="C57" s="168"/>
      <c r="D57" s="4"/>
      <c r="E57" s="4"/>
      <c r="F57" s="11"/>
      <c r="G57" s="11"/>
      <c r="H57" s="11"/>
      <c r="I57" s="11"/>
    </row>
    <row r="58" spans="1:9" s="71" customFormat="1" ht="9.75">
      <c r="A58" s="9"/>
      <c r="B58" s="167"/>
      <c r="C58" s="168"/>
      <c r="D58" s="4"/>
      <c r="E58" s="4"/>
      <c r="F58" s="11"/>
      <c r="G58" s="11"/>
      <c r="H58" s="11"/>
      <c r="I58" s="11"/>
    </row>
    <row r="59" spans="1:9" s="71" customFormat="1" ht="10.5" thickBot="1">
      <c r="A59" s="9"/>
      <c r="B59" s="167"/>
      <c r="C59" s="215" t="s">
        <v>939</v>
      </c>
      <c r="D59" s="63" t="s">
        <v>835</v>
      </c>
      <c r="E59" s="63" t="s">
        <v>417</v>
      </c>
      <c r="F59" s="11"/>
      <c r="G59" s="11"/>
      <c r="H59" s="11"/>
      <c r="I59" s="11"/>
    </row>
    <row r="60" spans="1:9" s="224" customFormat="1" ht="9.75">
      <c r="A60" s="219">
        <v>1</v>
      </c>
      <c r="B60" s="220" t="s">
        <v>940</v>
      </c>
      <c r="C60" s="221" t="s">
        <v>941</v>
      </c>
      <c r="D60" s="222">
        <v>0</v>
      </c>
      <c r="E60" s="222">
        <v>0</v>
      </c>
      <c r="F60" s="223"/>
      <c r="G60" s="223"/>
      <c r="H60" s="223">
        <v>-1</v>
      </c>
      <c r="I60" s="223" t="s">
        <v>925</v>
      </c>
    </row>
    <row r="61" spans="1:9" s="224" customFormat="1" ht="9.75">
      <c r="A61" s="219">
        <v>2</v>
      </c>
      <c r="B61" s="220" t="s">
        <v>942</v>
      </c>
      <c r="C61" s="221" t="s">
        <v>943</v>
      </c>
      <c r="D61" s="222">
        <v>0</v>
      </c>
      <c r="E61" s="222">
        <v>0</v>
      </c>
      <c r="F61" s="223"/>
      <c r="G61" s="223"/>
      <c r="H61" s="223">
        <v>-1</v>
      </c>
      <c r="I61" s="223" t="s">
        <v>925</v>
      </c>
    </row>
    <row r="62" spans="1:9" s="224" customFormat="1" ht="9.75">
      <c r="A62" s="219">
        <v>3</v>
      </c>
      <c r="B62" s="220" t="s">
        <v>944</v>
      </c>
      <c r="C62" s="221" t="s">
        <v>945</v>
      </c>
      <c r="D62" s="222">
        <v>0</v>
      </c>
      <c r="E62" s="222">
        <v>0</v>
      </c>
      <c r="F62" s="223"/>
      <c r="G62" s="223"/>
      <c r="H62" s="223">
        <v>-1</v>
      </c>
      <c r="I62" s="223" t="s">
        <v>925</v>
      </c>
    </row>
    <row r="63" spans="1:9" s="224" customFormat="1" ht="9.75">
      <c r="A63" s="219">
        <v>4</v>
      </c>
      <c r="B63" s="220" t="s">
        <v>946</v>
      </c>
      <c r="C63" s="221" t="s">
        <v>947</v>
      </c>
      <c r="D63" s="222">
        <v>0</v>
      </c>
      <c r="E63" s="222">
        <v>0</v>
      </c>
      <c r="F63" s="223"/>
      <c r="G63" s="223"/>
      <c r="H63" s="223">
        <v>-1</v>
      </c>
      <c r="I63" s="223" t="s">
        <v>925</v>
      </c>
    </row>
    <row r="64" spans="1:9" s="71" customFormat="1" ht="9.75">
      <c r="A64" s="9">
        <v>5</v>
      </c>
      <c r="B64" s="167" t="s">
        <v>948</v>
      </c>
      <c r="C64" s="168" t="s">
        <v>949</v>
      </c>
      <c r="D64" s="225">
        <v>0.055</v>
      </c>
      <c r="E64" s="225">
        <v>0.055</v>
      </c>
      <c r="F64" s="11"/>
      <c r="G64" s="11"/>
      <c r="H64" s="11"/>
      <c r="I64" s="11" t="s">
        <v>849</v>
      </c>
    </row>
    <row r="65" spans="1:9" s="71" customFormat="1" ht="9.75">
      <c r="A65" s="9">
        <v>6</v>
      </c>
      <c r="B65" s="167" t="s">
        <v>950</v>
      </c>
      <c r="C65" s="168" t="s">
        <v>951</v>
      </c>
      <c r="D65" s="225">
        <v>0.35</v>
      </c>
      <c r="E65" s="225">
        <v>0.35</v>
      </c>
      <c r="F65" s="11"/>
      <c r="G65" s="11"/>
      <c r="H65" s="11"/>
      <c r="I65" s="11" t="s">
        <v>849</v>
      </c>
    </row>
    <row r="66" spans="1:9" s="71" customFormat="1" ht="9.75">
      <c r="A66" s="9">
        <v>7</v>
      </c>
      <c r="B66" s="167" t="s">
        <v>952</v>
      </c>
      <c r="C66" s="168" t="s">
        <v>953</v>
      </c>
      <c r="D66" s="225">
        <v>0.38575</v>
      </c>
      <c r="E66" s="225">
        <v>0.38575</v>
      </c>
      <c r="F66" s="11"/>
      <c r="G66" s="11"/>
      <c r="H66" s="11"/>
      <c r="I66" s="11" t="s">
        <v>849</v>
      </c>
    </row>
    <row r="67" spans="1:9" s="71" customFormat="1" ht="9.75">
      <c r="A67" s="9">
        <v>8</v>
      </c>
      <c r="B67" s="167" t="s">
        <v>954</v>
      </c>
      <c r="C67" s="168" t="s">
        <v>955</v>
      </c>
      <c r="D67" s="225">
        <v>0.33075</v>
      </c>
      <c r="E67" s="225">
        <v>0.33075</v>
      </c>
      <c r="F67" s="11"/>
      <c r="G67" s="11"/>
      <c r="H67" s="11"/>
      <c r="I67" s="11" t="s">
        <v>849</v>
      </c>
    </row>
    <row r="68" spans="1:9" s="71" customFormat="1" ht="9.75">
      <c r="A68" s="9">
        <v>9</v>
      </c>
      <c r="B68" s="167" t="s">
        <v>956</v>
      </c>
      <c r="C68" s="168" t="s">
        <v>957</v>
      </c>
      <c r="D68" s="225">
        <v>0.025</v>
      </c>
      <c r="E68" s="225">
        <v>0.025</v>
      </c>
      <c r="F68" s="11"/>
      <c r="G68" s="11"/>
      <c r="H68" s="11"/>
      <c r="I68" s="11" t="s">
        <v>849</v>
      </c>
    </row>
    <row r="69" spans="1:9" s="71" customFormat="1" ht="9.75">
      <c r="A69" s="9">
        <v>10</v>
      </c>
      <c r="B69" s="167" t="s">
        <v>958</v>
      </c>
      <c r="C69" s="168" t="s">
        <v>959</v>
      </c>
      <c r="D69" s="225">
        <v>0.00072</v>
      </c>
      <c r="E69" s="225">
        <v>0.00072</v>
      </c>
      <c r="F69" s="11"/>
      <c r="G69" s="11"/>
      <c r="H69" s="11"/>
      <c r="I69" s="11" t="s">
        <v>849</v>
      </c>
    </row>
    <row r="70" spans="1:9" s="71" customFormat="1" ht="9.75">
      <c r="A70" s="9"/>
      <c r="B70" s="167"/>
      <c r="C70" s="168"/>
      <c r="D70" s="4"/>
      <c r="E70" s="4"/>
      <c r="F70" s="11"/>
      <c r="G70" s="11"/>
      <c r="H70" s="11"/>
      <c r="I70" s="11"/>
    </row>
    <row r="71" spans="1:9" s="71" customFormat="1" ht="9.75">
      <c r="A71" s="9"/>
      <c r="B71" s="167"/>
      <c r="C71" s="168"/>
      <c r="D71" s="4"/>
      <c r="E71" s="4"/>
      <c r="F71" s="11"/>
      <c r="G71" s="11"/>
      <c r="H71" s="11"/>
      <c r="I71" s="11"/>
    </row>
    <row r="72" spans="1:9" s="71" customFormat="1" ht="9.75">
      <c r="A72" s="9"/>
      <c r="B72" s="226"/>
      <c r="C72" s="8"/>
      <c r="D72" s="216"/>
      <c r="E72" s="216"/>
      <c r="F72" s="11"/>
      <c r="G72" s="11"/>
      <c r="H72" s="11"/>
      <c r="I72" s="11"/>
    </row>
    <row r="73" spans="1:9" s="71" customFormat="1" ht="9.75">
      <c r="A73" s="9"/>
      <c r="B73" s="11"/>
      <c r="C73" s="3"/>
      <c r="D73" s="4"/>
      <c r="E73" s="4"/>
      <c r="F73" s="11"/>
      <c r="G73" s="11"/>
      <c r="H73" s="11"/>
      <c r="I73" s="11"/>
    </row>
    <row r="74" spans="1:9" s="71" customFormat="1" ht="9.75">
      <c r="A74" s="9"/>
      <c r="B74" s="11"/>
      <c r="C74" s="3"/>
      <c r="D74" s="4"/>
      <c r="E74" s="4"/>
      <c r="F74" s="11"/>
      <c r="G74" s="11"/>
      <c r="H74" s="11"/>
      <c r="I74" s="11"/>
    </row>
    <row r="75" spans="1:9" s="71" customFormat="1" ht="9.75">
      <c r="A75" s="9"/>
      <c r="B75" s="11"/>
      <c r="C75" s="227" t="s">
        <v>960</v>
      </c>
      <c r="D75" s="50"/>
      <c r="E75" s="50"/>
      <c r="F75" s="11"/>
      <c r="G75" s="11"/>
      <c r="H75" s="11"/>
      <c r="I75" s="11"/>
    </row>
    <row r="76" spans="1:9" s="71" customFormat="1" ht="9.75">
      <c r="A76" s="9"/>
      <c r="B76" s="11"/>
      <c r="C76" s="8"/>
      <c r="D76" s="216"/>
      <c r="E76" s="216"/>
      <c r="F76" s="11"/>
      <c r="G76" s="11"/>
      <c r="H76" s="11"/>
      <c r="I76" s="11"/>
    </row>
    <row r="77" spans="1:9" s="71" customFormat="1" ht="9.75">
      <c r="A77" s="9">
        <v>1</v>
      </c>
      <c r="B77" s="9" t="s">
        <v>961</v>
      </c>
      <c r="C77" s="228" t="s">
        <v>962</v>
      </c>
      <c r="D77" s="229">
        <v>0</v>
      </c>
      <c r="E77" s="230">
        <v>1378749.96</v>
      </c>
      <c r="F77" s="231"/>
      <c r="G77" s="231" t="s">
        <v>842</v>
      </c>
      <c r="H77" s="231">
        <v>-1</v>
      </c>
      <c r="I77" s="231" t="s">
        <v>936</v>
      </c>
    </row>
    <row r="78" spans="1:9" s="71" customFormat="1" ht="9.75">
      <c r="A78" s="9">
        <v>2</v>
      </c>
      <c r="B78" s="9" t="s">
        <v>963</v>
      </c>
      <c r="C78" s="8" t="s">
        <v>964</v>
      </c>
      <c r="D78" s="216">
        <v>0</v>
      </c>
      <c r="E78" s="216">
        <v>0</v>
      </c>
      <c r="F78" s="11"/>
      <c r="G78" s="11" t="s">
        <v>842</v>
      </c>
      <c r="H78" s="11">
        <v>-1</v>
      </c>
      <c r="I78" s="11" t="s">
        <v>936</v>
      </c>
    </row>
    <row r="79" spans="1:9" s="71" customFormat="1" ht="9.75">
      <c r="A79" s="9">
        <v>3</v>
      </c>
      <c r="B79" s="9" t="s">
        <v>965</v>
      </c>
      <c r="C79" s="8" t="s">
        <v>966</v>
      </c>
      <c r="D79" s="216">
        <v>0</v>
      </c>
      <c r="E79" s="216">
        <v>-456021.5492699999</v>
      </c>
      <c r="F79" s="11"/>
      <c r="G79" s="11" t="s">
        <v>842</v>
      </c>
      <c r="H79" s="11">
        <v>-1</v>
      </c>
      <c r="I79" s="11" t="s">
        <v>936</v>
      </c>
    </row>
    <row r="80" spans="1:9" s="71" customFormat="1" ht="9.75">
      <c r="A80" s="9">
        <v>4</v>
      </c>
      <c r="B80" s="9" t="s">
        <v>967</v>
      </c>
      <c r="C80" s="8" t="s">
        <v>968</v>
      </c>
      <c r="D80" s="216">
        <v>0</v>
      </c>
      <c r="E80" s="216">
        <v>-75831.2478</v>
      </c>
      <c r="F80" s="11"/>
      <c r="G80" s="11" t="s">
        <v>842</v>
      </c>
      <c r="H80" s="11">
        <v>-1</v>
      </c>
      <c r="I80" s="11" t="s">
        <v>936</v>
      </c>
    </row>
    <row r="81" spans="1:9" s="71" customFormat="1" ht="9.75">
      <c r="A81" s="9">
        <v>5</v>
      </c>
      <c r="B81" s="167" t="s">
        <v>969</v>
      </c>
      <c r="C81" s="168" t="s">
        <v>970</v>
      </c>
      <c r="D81" s="216">
        <v>0</v>
      </c>
      <c r="E81" s="216">
        <v>-7328624.26</v>
      </c>
      <c r="F81" s="11"/>
      <c r="G81" s="11" t="s">
        <v>842</v>
      </c>
      <c r="H81" s="11">
        <v>-1</v>
      </c>
      <c r="I81" s="11" t="s">
        <v>843</v>
      </c>
    </row>
    <row r="82" spans="1:9" s="71" customFormat="1" ht="9.75">
      <c r="A82" s="9">
        <v>6</v>
      </c>
      <c r="B82" s="167" t="s">
        <v>971</v>
      </c>
      <c r="C82" s="168" t="s">
        <v>972</v>
      </c>
      <c r="D82" s="216">
        <v>0</v>
      </c>
      <c r="E82" s="216">
        <v>-743750</v>
      </c>
      <c r="F82" s="11"/>
      <c r="G82" s="11" t="s">
        <v>842</v>
      </c>
      <c r="H82" s="11">
        <v>-1</v>
      </c>
      <c r="I82" s="11" t="s">
        <v>843</v>
      </c>
    </row>
    <row r="83" spans="1:9" s="71" customFormat="1" ht="9.75">
      <c r="A83" s="9">
        <v>7</v>
      </c>
      <c r="B83" s="167" t="s">
        <v>973</v>
      </c>
      <c r="C83" s="168" t="s">
        <v>974</v>
      </c>
      <c r="D83" s="216">
        <v>0</v>
      </c>
      <c r="E83" s="216">
        <v>-18574773.33709518</v>
      </c>
      <c r="F83" s="11"/>
      <c r="G83" s="11" t="s">
        <v>842</v>
      </c>
      <c r="H83" s="11">
        <v>-1</v>
      </c>
      <c r="I83" s="11" t="s">
        <v>843</v>
      </c>
    </row>
    <row r="84" spans="1:9" s="71" customFormat="1" ht="9.75">
      <c r="A84" s="9">
        <v>8</v>
      </c>
      <c r="B84" s="167" t="s">
        <v>975</v>
      </c>
      <c r="C84" s="228" t="s">
        <v>976</v>
      </c>
      <c r="D84" s="229">
        <v>0</v>
      </c>
      <c r="E84" s="229">
        <v>-10513511.329999998</v>
      </c>
      <c r="F84" s="231"/>
      <c r="G84" s="231" t="s">
        <v>842</v>
      </c>
      <c r="H84" s="231">
        <v>-1</v>
      </c>
      <c r="I84" s="231" t="s">
        <v>843</v>
      </c>
    </row>
    <row r="85" spans="1:9" s="71" customFormat="1" ht="9.75">
      <c r="A85" s="9">
        <v>9</v>
      </c>
      <c r="B85" s="217" t="s">
        <v>977</v>
      </c>
      <c r="C85" s="168" t="s">
        <v>978</v>
      </c>
      <c r="D85" s="216">
        <v>0</v>
      </c>
      <c r="E85" s="216">
        <v>-177238</v>
      </c>
      <c r="F85" s="11"/>
      <c r="G85" s="11"/>
      <c r="H85" s="11"/>
      <c r="I85" s="11"/>
    </row>
    <row r="86" spans="1:9" s="71" customFormat="1" ht="9.75">
      <c r="A86" s="9">
        <v>10</v>
      </c>
      <c r="B86" s="167" t="s">
        <v>979</v>
      </c>
      <c r="C86" s="168" t="s">
        <v>980</v>
      </c>
      <c r="D86" s="216">
        <v>0</v>
      </c>
      <c r="E86" s="216">
        <v>-152974.56558106322</v>
      </c>
      <c r="F86" s="11"/>
      <c r="G86" s="11" t="s">
        <v>842</v>
      </c>
      <c r="H86" s="11">
        <v>-1</v>
      </c>
      <c r="I86" s="11" t="s">
        <v>843</v>
      </c>
    </row>
    <row r="87" spans="1:9" s="71" customFormat="1" ht="9.75" customHeight="1">
      <c r="A87" s="9">
        <v>11</v>
      </c>
      <c r="B87" s="217" t="s">
        <v>981</v>
      </c>
      <c r="C87" s="168" t="s">
        <v>982</v>
      </c>
      <c r="D87" s="216">
        <v>0</v>
      </c>
      <c r="E87" s="216">
        <v>12400105.746202668</v>
      </c>
      <c r="F87" s="11"/>
      <c r="G87" s="11" t="s">
        <v>842</v>
      </c>
      <c r="H87" s="11">
        <v>-1</v>
      </c>
      <c r="I87" s="11" t="s">
        <v>936</v>
      </c>
    </row>
    <row r="88" spans="1:9" s="71" customFormat="1" ht="9.75">
      <c r="A88" s="9">
        <v>12</v>
      </c>
      <c r="B88" s="217" t="s">
        <v>983</v>
      </c>
      <c r="C88" s="168" t="s">
        <v>984</v>
      </c>
      <c r="D88" s="216">
        <v>0</v>
      </c>
      <c r="E88" s="216">
        <v>2061997.9320971933</v>
      </c>
      <c r="F88" s="11"/>
      <c r="G88" s="11" t="s">
        <v>842</v>
      </c>
      <c r="H88" s="11">
        <v>-1</v>
      </c>
      <c r="I88" s="11" t="s">
        <v>936</v>
      </c>
    </row>
    <row r="89" spans="1:9" s="71" customFormat="1" ht="9.75">
      <c r="A89" s="9">
        <v>13</v>
      </c>
      <c r="B89" s="217" t="s">
        <v>985</v>
      </c>
      <c r="C89" s="228" t="s">
        <v>986</v>
      </c>
      <c r="D89" s="229">
        <v>0</v>
      </c>
      <c r="E89" s="229">
        <v>-1359798.8400000005</v>
      </c>
      <c r="F89" s="231"/>
      <c r="G89" s="231" t="s">
        <v>842</v>
      </c>
      <c r="H89" s="231">
        <v>-1</v>
      </c>
      <c r="I89" s="232" t="s">
        <v>987</v>
      </c>
    </row>
    <row r="90" spans="1:9" s="71" customFormat="1" ht="9.75">
      <c r="A90" s="9">
        <v>14</v>
      </c>
      <c r="B90" s="217" t="s">
        <v>988</v>
      </c>
      <c r="C90" s="168" t="s">
        <v>989</v>
      </c>
      <c r="D90" s="216">
        <v>0</v>
      </c>
      <c r="E90" s="216">
        <v>449753.46633000014</v>
      </c>
      <c r="F90" s="11"/>
      <c r="G90" s="11" t="s">
        <v>842</v>
      </c>
      <c r="H90" s="11">
        <v>-1</v>
      </c>
      <c r="I90" s="11" t="s">
        <v>936</v>
      </c>
    </row>
    <row r="91" spans="1:9" s="71" customFormat="1" ht="9.75">
      <c r="A91" s="9">
        <v>15</v>
      </c>
      <c r="B91" s="217" t="s">
        <v>990</v>
      </c>
      <c r="C91" s="168" t="s">
        <v>991</v>
      </c>
      <c r="D91" s="216">
        <v>0</v>
      </c>
      <c r="E91" s="216">
        <v>74788.93620000001</v>
      </c>
      <c r="F91" s="11"/>
      <c r="G91" s="11" t="s">
        <v>842</v>
      </c>
      <c r="H91" s="11">
        <v>-1</v>
      </c>
      <c r="I91" s="11" t="s">
        <v>936</v>
      </c>
    </row>
    <row r="92" spans="1:9" s="71" customFormat="1" ht="9.75">
      <c r="A92" s="9">
        <v>16</v>
      </c>
      <c r="B92" s="167" t="s">
        <v>992</v>
      </c>
      <c r="C92" s="228" t="s">
        <v>993</v>
      </c>
      <c r="D92" s="229">
        <v>0</v>
      </c>
      <c r="E92" s="229">
        <v>-14765910.110000001</v>
      </c>
      <c r="F92" s="231"/>
      <c r="G92" s="231" t="s">
        <v>842</v>
      </c>
      <c r="H92" s="231">
        <v>-1</v>
      </c>
      <c r="I92" s="232" t="s">
        <v>987</v>
      </c>
    </row>
    <row r="93" spans="1:9" s="71" customFormat="1" ht="9.75">
      <c r="A93" s="9">
        <v>17</v>
      </c>
      <c r="B93" s="167" t="s">
        <v>994</v>
      </c>
      <c r="C93" s="168" t="s">
        <v>995</v>
      </c>
      <c r="D93" s="216">
        <v>0</v>
      </c>
      <c r="E93" s="216">
        <v>4883824.7688825</v>
      </c>
      <c r="F93" s="11"/>
      <c r="G93" s="11" t="s">
        <v>842</v>
      </c>
      <c r="H93" s="11">
        <v>-1</v>
      </c>
      <c r="I93" s="11" t="s">
        <v>936</v>
      </c>
    </row>
    <row r="94" spans="1:9" s="71" customFormat="1" ht="9.75">
      <c r="A94" s="9">
        <v>18</v>
      </c>
      <c r="B94" s="167" t="s">
        <v>996</v>
      </c>
      <c r="C94" s="168" t="s">
        <v>997</v>
      </c>
      <c r="D94" s="216">
        <v>0</v>
      </c>
      <c r="E94" s="216">
        <v>812125.0560500001</v>
      </c>
      <c r="F94" s="11"/>
      <c r="G94" s="11" t="s">
        <v>842</v>
      </c>
      <c r="H94" s="11">
        <v>-1</v>
      </c>
      <c r="I94" s="11" t="s">
        <v>936</v>
      </c>
    </row>
    <row r="95" spans="1:9" s="71" customFormat="1" ht="9.75">
      <c r="A95" s="9">
        <v>19</v>
      </c>
      <c r="B95" s="167" t="s">
        <v>998</v>
      </c>
      <c r="C95" s="168" t="s">
        <v>999</v>
      </c>
      <c r="D95" s="216">
        <v>0</v>
      </c>
      <c r="E95" s="230">
        <v>-1815206.6400000001</v>
      </c>
      <c r="F95" s="11"/>
      <c r="G95" s="11" t="s">
        <v>842</v>
      </c>
      <c r="H95" s="11">
        <v>-1</v>
      </c>
      <c r="I95" s="11" t="s">
        <v>882</v>
      </c>
    </row>
    <row r="96" spans="1:9" s="71" customFormat="1" ht="9.75">
      <c r="A96" s="9">
        <v>20</v>
      </c>
      <c r="B96" s="167" t="s">
        <v>1000</v>
      </c>
      <c r="C96" s="168" t="s">
        <v>1001</v>
      </c>
      <c r="D96" s="216">
        <v>0</v>
      </c>
      <c r="E96" s="216">
        <v>600379.59618</v>
      </c>
      <c r="F96" s="11"/>
      <c r="G96" s="11" t="s">
        <v>842</v>
      </c>
      <c r="H96" s="11">
        <v>-1</v>
      </c>
      <c r="I96" s="11" t="s">
        <v>936</v>
      </c>
    </row>
    <row r="97" spans="1:9" s="71" customFormat="1" ht="9.75">
      <c r="A97" s="9">
        <v>21</v>
      </c>
      <c r="B97" s="167" t="s">
        <v>1002</v>
      </c>
      <c r="C97" s="168" t="s">
        <v>1003</v>
      </c>
      <c r="D97" s="216">
        <v>0</v>
      </c>
      <c r="E97" s="216">
        <v>99836.3652</v>
      </c>
      <c r="F97" s="11"/>
      <c r="G97" s="11" t="s">
        <v>842</v>
      </c>
      <c r="H97" s="11">
        <v>-1</v>
      </c>
      <c r="I97" s="11" t="s">
        <v>936</v>
      </c>
    </row>
    <row r="98" spans="1:9" s="71" customFormat="1" ht="9.75">
      <c r="A98" s="9">
        <v>22</v>
      </c>
      <c r="B98" s="167" t="s">
        <v>1004</v>
      </c>
      <c r="C98" s="168" t="s">
        <v>1005</v>
      </c>
      <c r="D98" s="216">
        <v>0</v>
      </c>
      <c r="E98" s="230">
        <v>-287947.98000000004</v>
      </c>
      <c r="F98" s="11"/>
      <c r="G98" s="11" t="s">
        <v>842</v>
      </c>
      <c r="H98" s="11">
        <v>-1</v>
      </c>
      <c r="I98" s="11" t="s">
        <v>843</v>
      </c>
    </row>
    <row r="99" spans="1:9" s="71" customFormat="1" ht="9.75">
      <c r="A99" s="9">
        <v>23</v>
      </c>
      <c r="B99" s="167" t="s">
        <v>1006</v>
      </c>
      <c r="C99" s="168" t="s">
        <v>1007</v>
      </c>
      <c r="D99" s="216">
        <v>0</v>
      </c>
      <c r="E99" s="216">
        <v>-155822.49</v>
      </c>
      <c r="F99" s="11"/>
      <c r="G99" s="11" t="s">
        <v>842</v>
      </c>
      <c r="H99" s="11">
        <v>-1</v>
      </c>
      <c r="I99" s="11" t="s">
        <v>843</v>
      </c>
    </row>
    <row r="100" spans="1:9" s="71" customFormat="1" ht="9.75">
      <c r="A100" s="9">
        <v>24</v>
      </c>
      <c r="B100" s="167" t="s">
        <v>1008</v>
      </c>
      <c r="C100" s="168" t="s">
        <v>1009</v>
      </c>
      <c r="D100" s="216">
        <v>0</v>
      </c>
      <c r="E100" s="216">
        <v>146777.08295249997</v>
      </c>
      <c r="F100" s="11"/>
      <c r="G100" s="11" t="s">
        <v>842</v>
      </c>
      <c r="H100" s="11">
        <v>-1</v>
      </c>
      <c r="I100" s="11" t="s">
        <v>936</v>
      </c>
    </row>
    <row r="101" spans="1:9" s="71" customFormat="1" ht="9.75">
      <c r="A101" s="9">
        <v>25</v>
      </c>
      <c r="B101" s="167" t="s">
        <v>1010</v>
      </c>
      <c r="C101" s="168" t="s">
        <v>1011</v>
      </c>
      <c r="D101" s="216">
        <v>0</v>
      </c>
      <c r="E101" s="216">
        <v>24407.37585</v>
      </c>
      <c r="F101" s="11"/>
      <c r="G101" s="11" t="s">
        <v>842</v>
      </c>
      <c r="H101" s="11">
        <v>-1</v>
      </c>
      <c r="I101" s="11" t="s">
        <v>936</v>
      </c>
    </row>
    <row r="102" spans="1:9" s="71" customFormat="1" ht="9.75">
      <c r="A102" s="9">
        <v>30</v>
      </c>
      <c r="B102" s="217" t="s">
        <v>1012</v>
      </c>
      <c r="C102" s="168" t="s">
        <v>1013</v>
      </c>
      <c r="D102" s="216">
        <v>0</v>
      </c>
      <c r="E102" s="230">
        <v>-560232</v>
      </c>
      <c r="F102" s="11"/>
      <c r="G102" s="11" t="s">
        <v>842</v>
      </c>
      <c r="H102" s="11">
        <v>-1</v>
      </c>
      <c r="I102" s="11" t="s">
        <v>882</v>
      </c>
    </row>
    <row r="103" spans="1:9" s="71" customFormat="1" ht="9.75">
      <c r="A103" s="9">
        <v>31</v>
      </c>
      <c r="B103" s="217" t="s">
        <v>1014</v>
      </c>
      <c r="C103" s="168" t="s">
        <v>1015</v>
      </c>
      <c r="D103" s="216">
        <v>0</v>
      </c>
      <c r="E103" s="216">
        <v>185296.73399999997</v>
      </c>
      <c r="F103" s="11"/>
      <c r="G103" s="11" t="s">
        <v>842</v>
      </c>
      <c r="H103" s="11">
        <v>-1</v>
      </c>
      <c r="I103" s="11" t="s">
        <v>936</v>
      </c>
    </row>
    <row r="104" spans="1:9" s="71" customFormat="1" ht="9.75">
      <c r="A104" s="9">
        <v>32</v>
      </c>
      <c r="B104" s="217" t="s">
        <v>1016</v>
      </c>
      <c r="C104" s="168" t="s">
        <v>1017</v>
      </c>
      <c r="D104" s="216">
        <v>0</v>
      </c>
      <c r="E104" s="216">
        <v>30812.76</v>
      </c>
      <c r="F104" s="11"/>
      <c r="G104" s="11" t="s">
        <v>842</v>
      </c>
      <c r="H104" s="11">
        <v>-1</v>
      </c>
      <c r="I104" s="11" t="s">
        <v>936</v>
      </c>
    </row>
    <row r="105" spans="1:9" s="71" customFormat="1" ht="9.75">
      <c r="A105" s="9"/>
      <c r="B105" s="217"/>
      <c r="C105" s="168"/>
      <c r="D105" s="216"/>
      <c r="E105" s="216"/>
      <c r="F105" s="11"/>
      <c r="G105" s="11"/>
      <c r="H105" s="11"/>
      <c r="I105" s="11"/>
    </row>
    <row r="106" spans="1:9" s="71" customFormat="1" ht="9.75">
      <c r="A106" s="9"/>
      <c r="B106" s="217"/>
      <c r="C106" s="168"/>
      <c r="D106" s="216"/>
      <c r="E106" s="216"/>
      <c r="F106" s="11"/>
      <c r="G106" s="11"/>
      <c r="H106" s="11"/>
      <c r="I106" s="11"/>
    </row>
    <row r="107" spans="1:9" s="71" customFormat="1" ht="10.5" thickBot="1">
      <c r="A107" s="9"/>
      <c r="B107" s="11"/>
      <c r="C107" s="215" t="s">
        <v>1018</v>
      </c>
      <c r="D107" s="63" t="s">
        <v>835</v>
      </c>
      <c r="E107" s="63" t="s">
        <v>417</v>
      </c>
      <c r="F107" s="11"/>
      <c r="G107" s="11"/>
      <c r="H107" s="11"/>
      <c r="I107" s="11"/>
    </row>
    <row r="108" spans="1:9" s="71" customFormat="1" ht="9.75">
      <c r="A108" s="9">
        <v>1</v>
      </c>
      <c r="B108" s="167" t="s">
        <v>1019</v>
      </c>
      <c r="C108" s="228" t="s">
        <v>1020</v>
      </c>
      <c r="D108" s="233">
        <v>0</v>
      </c>
      <c r="E108" s="233">
        <v>-592969924.5116723</v>
      </c>
      <c r="F108" s="231"/>
      <c r="G108" s="231" t="s">
        <v>842</v>
      </c>
      <c r="H108" s="231">
        <v>-1</v>
      </c>
      <c r="I108" s="231" t="s">
        <v>843</v>
      </c>
    </row>
    <row r="109" spans="1:9" s="71" customFormat="1" ht="9.75">
      <c r="A109" s="9">
        <v>2</v>
      </c>
      <c r="B109" s="167" t="s">
        <v>1021</v>
      </c>
      <c r="C109" s="228" t="s">
        <v>1022</v>
      </c>
      <c r="D109" s="233">
        <v>0</v>
      </c>
      <c r="E109" s="233">
        <v>-6951743.571967829</v>
      </c>
      <c r="F109" s="231"/>
      <c r="G109" s="231" t="s">
        <v>842</v>
      </c>
      <c r="H109" s="231">
        <v>-1</v>
      </c>
      <c r="I109" s="231" t="s">
        <v>843</v>
      </c>
    </row>
    <row r="110" spans="1:9" s="71" customFormat="1" ht="9.75">
      <c r="A110" s="9">
        <v>3</v>
      </c>
      <c r="B110" s="167" t="s">
        <v>1023</v>
      </c>
      <c r="C110" s="168" t="s">
        <v>1024</v>
      </c>
      <c r="D110" s="4">
        <v>0</v>
      </c>
      <c r="E110" s="4">
        <v>5717170.929498398</v>
      </c>
      <c r="F110" s="11"/>
      <c r="G110" s="11" t="s">
        <v>842</v>
      </c>
      <c r="H110" s="11">
        <v>-1</v>
      </c>
      <c r="I110" s="11" t="s">
        <v>843</v>
      </c>
    </row>
    <row r="111" spans="1:9" s="71" customFormat="1" ht="9.75">
      <c r="A111" s="9">
        <v>4</v>
      </c>
      <c r="B111" s="167" t="s">
        <v>1025</v>
      </c>
      <c r="C111" s="168" t="s">
        <v>1026</v>
      </c>
      <c r="D111" s="4">
        <v>0</v>
      </c>
      <c r="E111" s="4">
        <v>44353.572269065575</v>
      </c>
      <c r="F111" s="11"/>
      <c r="G111" s="11" t="s">
        <v>842</v>
      </c>
      <c r="H111" s="11">
        <v>-1</v>
      </c>
      <c r="I111" s="11" t="s">
        <v>843</v>
      </c>
    </row>
    <row r="112" spans="1:9" s="71" customFormat="1" ht="9.75">
      <c r="A112" s="9">
        <v>5</v>
      </c>
      <c r="B112" s="167" t="s">
        <v>1027</v>
      </c>
      <c r="C112" s="228" t="s">
        <v>1028</v>
      </c>
      <c r="D112" s="233">
        <v>0</v>
      </c>
      <c r="E112" s="233">
        <v>0</v>
      </c>
      <c r="F112" s="231"/>
      <c r="G112" s="231" t="s">
        <v>842</v>
      </c>
      <c r="H112" s="231">
        <v>-1</v>
      </c>
      <c r="I112" s="231" t="s">
        <v>843</v>
      </c>
    </row>
    <row r="113" spans="1:9" s="71" customFormat="1" ht="9.75">
      <c r="A113" s="9">
        <v>6</v>
      </c>
      <c r="B113" s="167" t="s">
        <v>1029</v>
      </c>
      <c r="C113" s="228" t="s">
        <v>1030</v>
      </c>
      <c r="D113" s="233">
        <v>0</v>
      </c>
      <c r="E113" s="233">
        <v>0</v>
      </c>
      <c r="F113" s="231"/>
      <c r="G113" s="231" t="s">
        <v>842</v>
      </c>
      <c r="H113" s="231">
        <v>-1</v>
      </c>
      <c r="I113" s="231" t="s">
        <v>843</v>
      </c>
    </row>
    <row r="114" spans="1:9" s="71" customFormat="1" ht="9.75">
      <c r="A114" s="9">
        <v>7</v>
      </c>
      <c r="B114" s="167" t="s">
        <v>1031</v>
      </c>
      <c r="C114" s="228" t="s">
        <v>1032</v>
      </c>
      <c r="D114" s="233">
        <v>0</v>
      </c>
      <c r="E114" s="233">
        <v>7478491.811538462</v>
      </c>
      <c r="F114" s="231"/>
      <c r="G114" s="231" t="s">
        <v>842</v>
      </c>
      <c r="H114" s="231">
        <v>-1</v>
      </c>
      <c r="I114" s="232" t="s">
        <v>987</v>
      </c>
    </row>
    <row r="115" spans="1:9" s="71" customFormat="1" ht="9.75">
      <c r="A115" s="9">
        <v>9</v>
      </c>
      <c r="B115" s="217" t="s">
        <v>1033</v>
      </c>
      <c r="C115" s="168" t="s">
        <v>1034</v>
      </c>
      <c r="D115" s="4">
        <v>0</v>
      </c>
      <c r="E115" s="4">
        <v>-1534723.3734240981</v>
      </c>
      <c r="F115" s="11"/>
      <c r="G115" s="11" t="s">
        <v>842</v>
      </c>
      <c r="H115" s="11">
        <v>-1</v>
      </c>
      <c r="I115" s="11" t="s">
        <v>843</v>
      </c>
    </row>
    <row r="116" spans="1:9" s="71" customFormat="1" ht="9.75">
      <c r="A116" s="9">
        <v>10</v>
      </c>
      <c r="B116" s="167" t="s">
        <v>1035</v>
      </c>
      <c r="C116" s="228" t="s">
        <v>1036</v>
      </c>
      <c r="D116" s="233">
        <v>0</v>
      </c>
      <c r="E116" s="233">
        <v>679898.4</v>
      </c>
      <c r="F116" s="231"/>
      <c r="G116" s="231" t="s">
        <v>842</v>
      </c>
      <c r="H116" s="231">
        <v>-1</v>
      </c>
      <c r="I116" s="232" t="s">
        <v>987</v>
      </c>
    </row>
    <row r="117" spans="1:9" s="71" customFormat="1" ht="9.75">
      <c r="A117" s="9">
        <v>11</v>
      </c>
      <c r="B117" s="217" t="s">
        <v>1037</v>
      </c>
      <c r="C117" s="234" t="s">
        <v>1038</v>
      </c>
      <c r="D117" s="235">
        <v>0</v>
      </c>
      <c r="E117" s="235">
        <v>4825625</v>
      </c>
      <c r="F117" s="232"/>
      <c r="G117" s="232" t="s">
        <v>842</v>
      </c>
      <c r="H117" s="232">
        <v>-1</v>
      </c>
      <c r="I117" s="232" t="s">
        <v>987</v>
      </c>
    </row>
    <row r="119" ht="9.75">
      <c r="C119" s="215" t="s">
        <v>1039</v>
      </c>
    </row>
    <row r="120" spans="1:9" ht="9.75">
      <c r="A120" s="9">
        <v>1</v>
      </c>
      <c r="B120" s="167" t="s">
        <v>1040</v>
      </c>
      <c r="C120" s="168" t="s">
        <v>1041</v>
      </c>
      <c r="D120" s="236">
        <v>0.9801395</v>
      </c>
      <c r="E120" s="236">
        <v>0.9801395</v>
      </c>
      <c r="G120" s="11" t="s">
        <v>842</v>
      </c>
      <c r="I120" s="11" t="s">
        <v>849</v>
      </c>
    </row>
    <row r="121" spans="1:9" ht="9.75">
      <c r="A121" s="9">
        <v>2</v>
      </c>
      <c r="B121" s="167" t="s">
        <v>1042</v>
      </c>
      <c r="C121" s="168" t="s">
        <v>1043</v>
      </c>
      <c r="D121" s="236">
        <v>1</v>
      </c>
      <c r="E121" s="236">
        <v>1</v>
      </c>
      <c r="G121" s="11" t="s">
        <v>842</v>
      </c>
      <c r="I121" s="11" t="s">
        <v>849</v>
      </c>
    </row>
    <row r="122" spans="1:9" ht="9.75">
      <c r="A122" s="9">
        <v>3</v>
      </c>
      <c r="B122" s="167" t="s">
        <v>1044</v>
      </c>
      <c r="C122" s="168" t="s">
        <v>1045</v>
      </c>
      <c r="D122" s="236">
        <v>0.9801395</v>
      </c>
      <c r="E122" s="236">
        <v>0.9801395</v>
      </c>
      <c r="G122" s="11" t="s">
        <v>842</v>
      </c>
      <c r="I122" s="11" t="s">
        <v>849</v>
      </c>
    </row>
    <row r="123" spans="1:9" ht="9.75">
      <c r="A123" s="9">
        <v>4</v>
      </c>
      <c r="B123" s="167" t="s">
        <v>1046</v>
      </c>
      <c r="C123" s="168" t="s">
        <v>1047</v>
      </c>
      <c r="D123" s="236">
        <v>0.979022</v>
      </c>
      <c r="E123" s="236">
        <v>0.979022</v>
      </c>
      <c r="G123" s="11" t="s">
        <v>842</v>
      </c>
      <c r="I123" s="11" t="s">
        <v>849</v>
      </c>
    </row>
    <row r="124" spans="1:9" ht="409.5">
      <c r="A124" s="9">
        <v>5</v>
      </c>
      <c r="B124" s="167" t="s">
        <v>1048</v>
      </c>
      <c r="C124" s="168" t="s">
        <v>1049</v>
      </c>
      <c r="D124" s="4">
        <v>101686600</v>
      </c>
      <c r="E124" s="4">
        <v>103200444</v>
      </c>
      <c r="G124" s="11" t="s">
        <v>842</v>
      </c>
      <c r="I124" s="11" t="s">
        <v>849</v>
      </c>
    </row>
    <row r="125" spans="1:9" ht="9.75">
      <c r="A125" s="9">
        <v>6</v>
      </c>
      <c r="B125" s="167" t="s">
        <v>1050</v>
      </c>
      <c r="C125" s="168" t="s">
        <v>1051</v>
      </c>
      <c r="D125" s="4">
        <v>2313144</v>
      </c>
      <c r="E125" s="4">
        <v>2210124</v>
      </c>
      <c r="G125" s="11" t="s">
        <v>842</v>
      </c>
      <c r="I125" s="11" t="s">
        <v>849</v>
      </c>
    </row>
    <row r="126" spans="1:9" ht="9.75">
      <c r="A126" s="9">
        <v>7</v>
      </c>
      <c r="B126" s="167" t="s">
        <v>1052</v>
      </c>
      <c r="C126" s="168" t="s">
        <v>1053</v>
      </c>
      <c r="D126" s="4">
        <v>4579174</v>
      </c>
      <c r="E126" s="4">
        <v>4625149</v>
      </c>
      <c r="G126" s="11" t="s">
        <v>842</v>
      </c>
      <c r="I126" s="11" t="s">
        <v>849</v>
      </c>
    </row>
    <row r="128" ht="9.75">
      <c r="C128" s="215" t="s">
        <v>446</v>
      </c>
    </row>
    <row r="129" spans="1:9" ht="9.75">
      <c r="A129" s="9">
        <v>8</v>
      </c>
      <c r="B129" s="167" t="s">
        <v>1054</v>
      </c>
      <c r="C129" s="168" t="s">
        <v>1055</v>
      </c>
      <c r="D129" s="4">
        <v>0</v>
      </c>
      <c r="E129" s="4">
        <v>0</v>
      </c>
      <c r="I129" s="11" t="s">
        <v>849</v>
      </c>
    </row>
    <row r="130" spans="1:9" ht="9.75">
      <c r="A130" s="9">
        <v>9</v>
      </c>
      <c r="B130" s="167" t="s">
        <v>1056</v>
      </c>
      <c r="C130" s="168" t="s">
        <v>1057</v>
      </c>
      <c r="D130" s="237">
        <v>1</v>
      </c>
      <c r="E130" s="237">
        <v>1</v>
      </c>
      <c r="I130" s="11" t="s">
        <v>849</v>
      </c>
    </row>
    <row r="131" spans="1:9" ht="9.75">
      <c r="A131" s="9">
        <v>10</v>
      </c>
      <c r="B131" s="9" t="s">
        <v>1058</v>
      </c>
      <c r="C131" s="8" t="s">
        <v>1059</v>
      </c>
      <c r="D131" s="238">
        <v>0.115</v>
      </c>
      <c r="E131" s="238">
        <v>0.115</v>
      </c>
      <c r="I131" s="11" t="s">
        <v>849</v>
      </c>
    </row>
    <row r="134" ht="9.75">
      <c r="C134" s="215" t="s">
        <v>1060</v>
      </c>
    </row>
    <row r="135" spans="1:9" ht="9.75">
      <c r="A135" s="9">
        <v>1</v>
      </c>
      <c r="B135" s="9" t="s">
        <v>1061</v>
      </c>
      <c r="C135" s="8" t="s">
        <v>1062</v>
      </c>
      <c r="I135" s="11" t="s">
        <v>843</v>
      </c>
    </row>
    <row r="136" spans="1:9" ht="9.75">
      <c r="A136" s="9">
        <v>2</v>
      </c>
      <c r="B136" s="9" t="s">
        <v>1063</v>
      </c>
      <c r="C136" s="8" t="s">
        <v>1064</v>
      </c>
      <c r="I136" s="11" t="s">
        <v>843</v>
      </c>
    </row>
    <row r="137" spans="1:9" ht="9.75">
      <c r="A137" s="9">
        <v>3</v>
      </c>
      <c r="B137" s="9" t="s">
        <v>1065</v>
      </c>
      <c r="C137" s="8" t="s">
        <v>1066</v>
      </c>
      <c r="I137" s="11" t="s">
        <v>843</v>
      </c>
    </row>
    <row r="138" spans="1:9" ht="9.75">
      <c r="A138" s="9">
        <v>4</v>
      </c>
      <c r="B138" s="9" t="s">
        <v>1067</v>
      </c>
      <c r="C138" s="8" t="s">
        <v>1068</v>
      </c>
      <c r="I138" s="11" t="s">
        <v>843</v>
      </c>
    </row>
    <row r="139" spans="1:9" ht="9.75">
      <c r="A139" s="9">
        <v>5</v>
      </c>
      <c r="B139" s="9" t="s">
        <v>1069</v>
      </c>
      <c r="C139" s="8" t="s">
        <v>1070</v>
      </c>
      <c r="I139" s="11" t="s">
        <v>843</v>
      </c>
    </row>
    <row r="140" spans="1:9" ht="9.75">
      <c r="A140" s="9">
        <v>6</v>
      </c>
      <c r="B140" s="9" t="s">
        <v>1071</v>
      </c>
      <c r="C140" s="8" t="s">
        <v>1072</v>
      </c>
      <c r="I140" s="11" t="s">
        <v>843</v>
      </c>
    </row>
    <row r="141" spans="1:9" ht="9.75">
      <c r="A141" s="9">
        <v>7</v>
      </c>
      <c r="B141" s="9" t="s">
        <v>1073</v>
      </c>
      <c r="C141" s="8" t="s">
        <v>1074</v>
      </c>
      <c r="I141" s="11" t="s">
        <v>843</v>
      </c>
    </row>
    <row r="142" spans="1:9" ht="9.75">
      <c r="A142" s="9">
        <v>8</v>
      </c>
      <c r="B142" s="9" t="s">
        <v>1075</v>
      </c>
      <c r="C142" s="8" t="s">
        <v>1076</v>
      </c>
      <c r="I142" s="11" t="s">
        <v>843</v>
      </c>
    </row>
    <row r="143" spans="1:9" ht="9.75">
      <c r="A143" s="9">
        <v>9</v>
      </c>
      <c r="B143" s="9" t="s">
        <v>1077</v>
      </c>
      <c r="C143" s="8" t="s">
        <v>1078</v>
      </c>
      <c r="I143" s="11" t="s">
        <v>843</v>
      </c>
    </row>
    <row r="144" spans="1:9" ht="9.75">
      <c r="A144" s="9">
        <v>10</v>
      </c>
      <c r="B144" s="9" t="s">
        <v>1079</v>
      </c>
      <c r="C144" s="8" t="s">
        <v>1080</v>
      </c>
      <c r="I144" s="11" t="s">
        <v>843</v>
      </c>
    </row>
    <row r="145" spans="1:9" ht="9.75">
      <c r="A145" s="9">
        <v>11</v>
      </c>
      <c r="B145" s="9" t="s">
        <v>1081</v>
      </c>
      <c r="C145" s="8" t="s">
        <v>1082</v>
      </c>
      <c r="I145" s="11" t="s">
        <v>843</v>
      </c>
    </row>
    <row r="146" spans="1:9" ht="9.75">
      <c r="A146" s="9">
        <v>12</v>
      </c>
      <c r="B146" s="9" t="s">
        <v>1083</v>
      </c>
      <c r="C146" s="8" t="s">
        <v>1084</v>
      </c>
      <c r="I146" s="11" t="s">
        <v>843</v>
      </c>
    </row>
    <row r="147" spans="1:9" ht="9.75">
      <c r="A147" s="9">
        <v>13</v>
      </c>
      <c r="B147" s="9" t="s">
        <v>1085</v>
      </c>
      <c r="C147" s="8" t="s">
        <v>1086</v>
      </c>
      <c r="I147" s="11" t="s">
        <v>1087</v>
      </c>
    </row>
    <row r="148" spans="1:9" ht="9.75">
      <c r="A148" s="9">
        <v>14</v>
      </c>
      <c r="B148" s="9" t="s">
        <v>1088</v>
      </c>
      <c r="C148" s="8" t="s">
        <v>1089</v>
      </c>
      <c r="I148" s="11" t="s">
        <v>1087</v>
      </c>
    </row>
    <row r="149" spans="1:9" ht="409.5">
      <c r="A149" s="9">
        <v>15</v>
      </c>
      <c r="B149" s="9" t="s">
        <v>1090</v>
      </c>
      <c r="C149" s="8" t="s">
        <v>1091</v>
      </c>
      <c r="I149" s="11" t="s">
        <v>1092</v>
      </c>
    </row>
    <row r="150" spans="1:9" ht="409.5">
      <c r="A150" s="9">
        <v>16</v>
      </c>
      <c r="B150" s="9" t="s">
        <v>1093</v>
      </c>
      <c r="C150" s="8" t="s">
        <v>1094</v>
      </c>
      <c r="I150" s="11" t="s">
        <v>1092</v>
      </c>
    </row>
    <row r="151" spans="1:9" ht="9.75">
      <c r="A151" s="9">
        <v>17</v>
      </c>
      <c r="B151" s="9" t="s">
        <v>368</v>
      </c>
      <c r="C151" s="8" t="s">
        <v>1095</v>
      </c>
      <c r="I151" s="11" t="s">
        <v>1092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4"/>
  <sheetViews>
    <sheetView zoomScalePageLayoutView="0" workbookViewId="0" topLeftCell="A1">
      <selection activeCell="A2" sqref="A1:A2"/>
    </sheetView>
  </sheetViews>
  <sheetFormatPr defaultColWidth="9.140625" defaultRowHeight="12.75"/>
  <cols>
    <col min="1" max="1" width="60.421875" style="0" bestFit="1" customWidth="1"/>
    <col min="2" max="2" width="9.57421875" style="0" bestFit="1" customWidth="1"/>
    <col min="3" max="3" width="12.7109375" style="0" bestFit="1" customWidth="1"/>
    <col min="4" max="4" width="10.8515625" style="21" bestFit="1" customWidth="1"/>
    <col min="5" max="5" width="9.57421875" style="21" bestFit="1" customWidth="1"/>
    <col min="6" max="6" width="9.140625" style="21" customWidth="1"/>
  </cols>
  <sheetData>
    <row r="1" ht="15">
      <c r="A1" s="268" t="s">
        <v>1124</v>
      </c>
    </row>
    <row r="2" ht="15">
      <c r="A2" s="268" t="s">
        <v>1116</v>
      </c>
    </row>
    <row r="4" spans="1:7" ht="12.75">
      <c r="A4" s="8" t="s">
        <v>336</v>
      </c>
      <c r="B4" s="9" t="s">
        <v>337</v>
      </c>
      <c r="C4" s="64" t="s">
        <v>338</v>
      </c>
      <c r="G4" s="21"/>
    </row>
    <row r="5" spans="1:7" ht="12.75">
      <c r="A5" s="3" t="s">
        <v>293</v>
      </c>
      <c r="B5" s="11">
        <v>500</v>
      </c>
      <c r="C5" s="65">
        <v>7794020.98</v>
      </c>
      <c r="G5" s="21" t="b">
        <f>A5='2013 BM Detail'!A7</f>
        <v>1</v>
      </c>
    </row>
    <row r="6" spans="1:7" ht="12.75">
      <c r="A6" s="3" t="s">
        <v>8</v>
      </c>
      <c r="B6" s="11">
        <v>501</v>
      </c>
      <c r="C6" s="65">
        <v>700540892.63</v>
      </c>
      <c r="G6" s="21" t="b">
        <f>A6='2013 BM Detail'!A8</f>
        <v>1</v>
      </c>
    </row>
    <row r="7" spans="1:7" ht="12.75">
      <c r="A7" s="3" t="s">
        <v>9</v>
      </c>
      <c r="B7" s="11">
        <v>501</v>
      </c>
      <c r="C7" s="65">
        <v>9995114.78</v>
      </c>
      <c r="G7" s="21" t="b">
        <f>A7='2013 BM Detail'!A9</f>
        <v>1</v>
      </c>
    </row>
    <row r="8" spans="1:7" ht="12.75">
      <c r="A8" s="3" t="s">
        <v>10</v>
      </c>
      <c r="B8" s="11">
        <v>502</v>
      </c>
      <c r="C8" s="65">
        <v>5964287.99</v>
      </c>
      <c r="G8" s="21" t="b">
        <f>A8='2013 BM Detail'!A10</f>
        <v>1</v>
      </c>
    </row>
    <row r="9" spans="1:7" ht="12.75">
      <c r="A9" s="3" t="s">
        <v>11</v>
      </c>
      <c r="B9" s="11">
        <v>505</v>
      </c>
      <c r="C9" s="65">
        <v>2263814.77</v>
      </c>
      <c r="G9" s="21" t="b">
        <f>A9='2013 BM Detail'!A11</f>
        <v>1</v>
      </c>
    </row>
    <row r="10" spans="1:7" ht="12.75">
      <c r="A10" s="3" t="s">
        <v>294</v>
      </c>
      <c r="B10" s="11">
        <v>506</v>
      </c>
      <c r="C10" s="65">
        <v>21079312.06</v>
      </c>
      <c r="G10" s="21" t="b">
        <f>A10='2013 BM Detail'!A12</f>
        <v>1</v>
      </c>
    </row>
    <row r="11" spans="1:7" ht="12.75">
      <c r="A11" s="3" t="s">
        <v>12</v>
      </c>
      <c r="B11" s="11">
        <v>506</v>
      </c>
      <c r="C11" s="65">
        <v>6688174.47</v>
      </c>
      <c r="G11" s="21" t="b">
        <f>A11='2013 BM Detail'!A13</f>
        <v>1</v>
      </c>
    </row>
    <row r="12" spans="1:7" ht="12.75">
      <c r="A12" s="3" t="s">
        <v>13</v>
      </c>
      <c r="B12" s="11">
        <v>506</v>
      </c>
      <c r="C12" s="65">
        <v>1337939.58</v>
      </c>
      <c r="G12" s="21" t="b">
        <f>A12='2013 BM Detail'!A14</f>
        <v>1</v>
      </c>
    </row>
    <row r="13" spans="1:7" ht="12.75">
      <c r="A13" s="3" t="s">
        <v>14</v>
      </c>
      <c r="B13" s="11">
        <v>507</v>
      </c>
      <c r="C13" s="65">
        <v>3483.31</v>
      </c>
      <c r="G13" s="21" t="b">
        <f>A13='2013 BM Detail'!A15</f>
        <v>1</v>
      </c>
    </row>
    <row r="14" spans="1:7" ht="12.75">
      <c r="A14" s="3" t="s">
        <v>15</v>
      </c>
      <c r="B14" s="11">
        <v>509</v>
      </c>
      <c r="C14" s="65">
        <v>0</v>
      </c>
      <c r="G14" s="21" t="b">
        <f>A14='2013 BM Detail'!A16</f>
        <v>1</v>
      </c>
    </row>
    <row r="15" spans="1:7" ht="12.75">
      <c r="A15" s="3" t="s">
        <v>295</v>
      </c>
      <c r="B15" s="11">
        <v>511</v>
      </c>
      <c r="C15" s="65">
        <v>8749318.33</v>
      </c>
      <c r="G15" s="21" t="b">
        <f>A15='2013 BM Detail'!A17</f>
        <v>1</v>
      </c>
    </row>
    <row r="16" spans="1:7" ht="12.75">
      <c r="A16" s="3" t="s">
        <v>17</v>
      </c>
      <c r="B16" s="11">
        <v>511</v>
      </c>
      <c r="C16" s="65">
        <v>6135305.77</v>
      </c>
      <c r="G16" s="21" t="b">
        <f>A16='2013 BM Detail'!A18</f>
        <v>1</v>
      </c>
    </row>
    <row r="17" spans="1:7" ht="12.75">
      <c r="A17" s="3" t="s">
        <v>18</v>
      </c>
      <c r="B17" s="11">
        <v>511</v>
      </c>
      <c r="C17" s="65">
        <v>1721542</v>
      </c>
      <c r="G17" s="21" t="b">
        <f>A17='2013 BM Detail'!A19</f>
        <v>1</v>
      </c>
    </row>
    <row r="18" spans="1:7" ht="12.75">
      <c r="A18" s="3" t="s">
        <v>19</v>
      </c>
      <c r="B18" s="11">
        <v>511</v>
      </c>
      <c r="C18" s="65">
        <v>0</v>
      </c>
      <c r="G18" s="21" t="b">
        <f>A18='2013 BM Detail'!A20</f>
        <v>1</v>
      </c>
    </row>
    <row r="19" spans="1:7" ht="12.75">
      <c r="A19" s="3" t="s">
        <v>20</v>
      </c>
      <c r="B19" s="11">
        <v>512</v>
      </c>
      <c r="C19" s="65">
        <v>19993880.57</v>
      </c>
      <c r="G19" s="21" t="b">
        <f>A19='2013 BM Detail'!A21</f>
        <v>1</v>
      </c>
    </row>
    <row r="20" spans="1:7" ht="12.75">
      <c r="A20" s="3" t="s">
        <v>21</v>
      </c>
      <c r="B20" s="11">
        <v>512</v>
      </c>
      <c r="C20" s="65">
        <v>8594280</v>
      </c>
      <c r="G20" s="21" t="b">
        <f>A20='2013 BM Detail'!A22</f>
        <v>1</v>
      </c>
    </row>
    <row r="21" spans="1:7" ht="12.75">
      <c r="A21" s="3" t="s">
        <v>22</v>
      </c>
      <c r="B21" s="11">
        <v>513</v>
      </c>
      <c r="C21" s="65">
        <v>10599552.66</v>
      </c>
      <c r="G21" s="21" t="b">
        <f>A21='2013 BM Detail'!A23</f>
        <v>1</v>
      </c>
    </row>
    <row r="22" spans="1:7" ht="12.75">
      <c r="A22" s="3" t="s">
        <v>296</v>
      </c>
      <c r="B22" s="11">
        <v>513</v>
      </c>
      <c r="C22" s="65">
        <v>1335073</v>
      </c>
      <c r="G22" s="21" t="b">
        <f>A22='2013 BM Detail'!A24</f>
        <v>1</v>
      </c>
    </row>
    <row r="23" spans="1:7" ht="12.75">
      <c r="A23" s="3" t="s">
        <v>297</v>
      </c>
      <c r="B23" s="11">
        <v>514</v>
      </c>
      <c r="C23" s="65">
        <v>2783048.56</v>
      </c>
      <c r="G23" s="21" t="b">
        <f>A23='2013 BM Detail'!A25</f>
        <v>1</v>
      </c>
    </row>
    <row r="24" spans="1:7" ht="12.75">
      <c r="A24" s="3" t="s">
        <v>24</v>
      </c>
      <c r="B24" s="11">
        <v>514</v>
      </c>
      <c r="C24" s="65">
        <v>242685.2</v>
      </c>
      <c r="D24" s="67">
        <f>SUM(C5:C24)</f>
        <v>815821726.66</v>
      </c>
      <c r="E24" s="21">
        <f>'2013 BM Detail'!C27</f>
        <v>815821726.66</v>
      </c>
      <c r="F24" s="21" t="b">
        <f>D24=E24</f>
        <v>1</v>
      </c>
      <c r="G24" s="21" t="b">
        <f>A24='2013 BM Detail'!A26</f>
        <v>1</v>
      </c>
    </row>
    <row r="25" spans="1:7" ht="12.75">
      <c r="A25" s="3" t="s">
        <v>298</v>
      </c>
      <c r="B25" s="11">
        <v>517</v>
      </c>
      <c r="C25" s="65">
        <v>105717145.91</v>
      </c>
      <c r="G25" s="21" t="b">
        <f>A25='2013 BM Detail'!A31</f>
        <v>1</v>
      </c>
    </row>
    <row r="26" spans="1:7" ht="12.75">
      <c r="A26" s="3" t="s">
        <v>339</v>
      </c>
      <c r="B26" s="11">
        <v>518</v>
      </c>
      <c r="C26" s="65">
        <v>189576565.21</v>
      </c>
      <c r="G26" s="21" t="b">
        <f>A26='2013 BM Detail'!A32</f>
        <v>1</v>
      </c>
    </row>
    <row r="27" spans="1:7" ht="12.75">
      <c r="A27" s="3" t="s">
        <v>340</v>
      </c>
      <c r="B27" s="11">
        <v>518</v>
      </c>
      <c r="C27" s="65">
        <v>21490238.79</v>
      </c>
      <c r="G27" s="21" t="b">
        <f>A27='2013 BM Detail'!A33</f>
        <v>1</v>
      </c>
    </row>
    <row r="28" spans="1:7" ht="12.75">
      <c r="A28" s="3" t="s">
        <v>30</v>
      </c>
      <c r="B28" s="11">
        <v>518</v>
      </c>
      <c r="C28" s="65">
        <v>35346332.38</v>
      </c>
      <c r="G28" s="21" t="b">
        <f>A28='2013 BM Detail'!A34</f>
        <v>1</v>
      </c>
    </row>
    <row r="29" spans="1:7" ht="12.75">
      <c r="A29" s="3" t="s">
        <v>31</v>
      </c>
      <c r="B29" s="11">
        <v>518</v>
      </c>
      <c r="C29" s="65">
        <v>0</v>
      </c>
      <c r="G29" s="21" t="b">
        <f>A29='2013 BM Detail'!A35</f>
        <v>1</v>
      </c>
    </row>
    <row r="30" spans="1:7" ht="12.75">
      <c r="A30" s="3" t="s">
        <v>32</v>
      </c>
      <c r="B30" s="11">
        <v>518</v>
      </c>
      <c r="C30" s="65">
        <v>0</v>
      </c>
      <c r="G30" s="21" t="b">
        <f>A30='2013 BM Detail'!A36</f>
        <v>1</v>
      </c>
    </row>
    <row r="31" spans="1:7" ht="12.75">
      <c r="A31" s="3" t="s">
        <v>33</v>
      </c>
      <c r="B31" s="11">
        <v>518</v>
      </c>
      <c r="C31" s="65">
        <v>0</v>
      </c>
      <c r="G31" s="21" t="b">
        <f>A31='2013 BM Detail'!A37</f>
        <v>1</v>
      </c>
    </row>
    <row r="32" spans="1:7" ht="12.75">
      <c r="A32" s="3" t="s">
        <v>34</v>
      </c>
      <c r="B32" s="11">
        <v>518</v>
      </c>
      <c r="C32" s="65">
        <v>0</v>
      </c>
      <c r="G32" s="21" t="b">
        <f>A32='2013 BM Detail'!A38</f>
        <v>1</v>
      </c>
    </row>
    <row r="33" spans="1:7" ht="12.75">
      <c r="A33" s="3" t="s">
        <v>341</v>
      </c>
      <c r="B33" s="11">
        <v>518</v>
      </c>
      <c r="C33" s="65">
        <v>0</v>
      </c>
      <c r="G33" s="21" t="b">
        <f>A33='2013 BM Detail'!A39</f>
        <v>1</v>
      </c>
    </row>
    <row r="34" spans="1:7" ht="12.75">
      <c r="A34" s="3" t="s">
        <v>299</v>
      </c>
      <c r="B34" s="11">
        <v>518</v>
      </c>
      <c r="C34" s="65">
        <v>11753702</v>
      </c>
      <c r="G34" s="21" t="b">
        <f>A34='2013 BM Detail'!A40</f>
        <v>1</v>
      </c>
    </row>
    <row r="35" spans="1:7" ht="12.75">
      <c r="A35" s="3" t="s">
        <v>37</v>
      </c>
      <c r="B35" s="11">
        <v>519</v>
      </c>
      <c r="C35" s="65">
        <v>8984825.6</v>
      </c>
      <c r="G35" s="21" t="b">
        <f>A35='2013 BM Detail'!A41</f>
        <v>1</v>
      </c>
    </row>
    <row r="36" spans="1:7" ht="12.75">
      <c r="A36" s="3" t="s">
        <v>38</v>
      </c>
      <c r="B36" s="11">
        <v>520</v>
      </c>
      <c r="C36" s="65">
        <v>64486955.4</v>
      </c>
      <c r="G36" s="21" t="b">
        <f>A36='2013 BM Detail'!A42</f>
        <v>1</v>
      </c>
    </row>
    <row r="37" spans="1:7" ht="12.75">
      <c r="A37" s="3" t="s">
        <v>39</v>
      </c>
      <c r="B37" s="11">
        <v>520</v>
      </c>
      <c r="C37" s="65">
        <v>0</v>
      </c>
      <c r="G37" s="21" t="b">
        <f>A37='2013 BM Detail'!A43</f>
        <v>1</v>
      </c>
    </row>
    <row r="38" spans="1:7" ht="12.75">
      <c r="A38" s="3" t="s">
        <v>40</v>
      </c>
      <c r="B38" s="11">
        <v>523</v>
      </c>
      <c r="C38" s="65">
        <v>66333.12</v>
      </c>
      <c r="G38" s="21" t="b">
        <f>A38='2013 BM Detail'!A44</f>
        <v>1</v>
      </c>
    </row>
    <row r="39" spans="1:7" ht="12.75">
      <c r="A39" s="3" t="s">
        <v>300</v>
      </c>
      <c r="B39" s="11">
        <v>524</v>
      </c>
      <c r="C39" s="65">
        <v>66368877.34</v>
      </c>
      <c r="G39" s="21" t="b">
        <f>A39='2013 BM Detail'!A45</f>
        <v>1</v>
      </c>
    </row>
    <row r="40" spans="1:7" ht="12.75">
      <c r="A40" s="3" t="s">
        <v>42</v>
      </c>
      <c r="B40" s="11">
        <v>524</v>
      </c>
      <c r="C40" s="65">
        <v>11553</v>
      </c>
      <c r="G40" s="21" t="b">
        <f>A40='2013 BM Detail'!A46</f>
        <v>1</v>
      </c>
    </row>
    <row r="41" spans="1:7" ht="12.75">
      <c r="A41" s="3" t="s">
        <v>301</v>
      </c>
      <c r="B41" s="11">
        <v>524</v>
      </c>
      <c r="C41" s="65">
        <v>6707476</v>
      </c>
      <c r="G41" s="21" t="b">
        <f>A41='2013 BM Detail'!A47</f>
        <v>1</v>
      </c>
    </row>
    <row r="42" spans="1:7" ht="12.75">
      <c r="A42" s="3" t="s">
        <v>342</v>
      </c>
      <c r="B42" s="11">
        <v>524</v>
      </c>
      <c r="C42" s="65">
        <v>0</v>
      </c>
      <c r="G42" s="21" t="b">
        <f>A42='2013 BM Detail'!A48</f>
        <v>1</v>
      </c>
    </row>
    <row r="43" spans="1:7" ht="12.75">
      <c r="A43" s="3" t="s">
        <v>43</v>
      </c>
      <c r="B43" s="11">
        <v>525</v>
      </c>
      <c r="C43" s="65">
        <v>0</v>
      </c>
      <c r="G43" s="21" t="b">
        <f>A43='2013 BM Detail'!A49</f>
        <v>1</v>
      </c>
    </row>
    <row r="44" spans="1:7" ht="12.75">
      <c r="A44" s="3" t="s">
        <v>302</v>
      </c>
      <c r="B44" s="11">
        <v>528</v>
      </c>
      <c r="C44" s="65">
        <v>110908125.49</v>
      </c>
      <c r="G44" s="21" t="b">
        <f>A44='2013 BM Detail'!A50</f>
        <v>1</v>
      </c>
    </row>
    <row r="45" spans="1:7" ht="12.75">
      <c r="A45" s="3" t="s">
        <v>45</v>
      </c>
      <c r="B45" s="11">
        <v>529</v>
      </c>
      <c r="C45" s="65">
        <v>5708158.48</v>
      </c>
      <c r="G45" s="21" t="b">
        <f>A45='2013 BM Detail'!A51</f>
        <v>1</v>
      </c>
    </row>
    <row r="46" spans="1:7" ht="12.75">
      <c r="A46" s="3" t="s">
        <v>46</v>
      </c>
      <c r="B46" s="11">
        <v>529</v>
      </c>
      <c r="C46" s="65">
        <v>1300000</v>
      </c>
      <c r="G46" s="21" t="b">
        <f>A46='2013 BM Detail'!A52</f>
        <v>1</v>
      </c>
    </row>
    <row r="47" spans="1:7" ht="12.75">
      <c r="A47" s="3" t="s">
        <v>47</v>
      </c>
      <c r="B47" s="11">
        <v>530</v>
      </c>
      <c r="C47" s="65">
        <v>30288151.37</v>
      </c>
      <c r="G47" s="21" t="b">
        <f>A47='2013 BM Detail'!A53</f>
        <v>1</v>
      </c>
    </row>
    <row r="48" spans="1:7" ht="12.75">
      <c r="A48" s="3" t="s">
        <v>48</v>
      </c>
      <c r="B48" s="11">
        <v>531</v>
      </c>
      <c r="C48" s="65">
        <v>11993463.42</v>
      </c>
      <c r="G48" s="21" t="b">
        <f>A48='2013 BM Detail'!A54</f>
        <v>1</v>
      </c>
    </row>
    <row r="49" spans="1:7" ht="12.75">
      <c r="A49" s="3" t="s">
        <v>303</v>
      </c>
      <c r="B49" s="11">
        <v>532</v>
      </c>
      <c r="C49" s="65">
        <v>3111660.66</v>
      </c>
      <c r="G49" s="21" t="b">
        <f>A49='2013 BM Detail'!A55</f>
        <v>1</v>
      </c>
    </row>
    <row r="50" spans="1:7" ht="12.75">
      <c r="A50" s="3" t="s">
        <v>50</v>
      </c>
      <c r="B50" s="11">
        <v>532</v>
      </c>
      <c r="C50" s="65">
        <v>0</v>
      </c>
      <c r="D50" s="67">
        <f>SUM(C25:C50)</f>
        <v>673819564.17</v>
      </c>
      <c r="E50" s="21">
        <f>'2013 BM Detail'!$C$57</f>
        <v>673819564.17</v>
      </c>
      <c r="F50" s="21" t="b">
        <f>D50=E50</f>
        <v>1</v>
      </c>
      <c r="G50" s="21" t="b">
        <f>A50='2013 BM Detail'!A56</f>
        <v>1</v>
      </c>
    </row>
    <row r="51" spans="1:7" ht="12.75">
      <c r="A51" s="3" t="s">
        <v>304</v>
      </c>
      <c r="B51" s="11">
        <v>546</v>
      </c>
      <c r="C51" s="65">
        <v>15097339.52</v>
      </c>
      <c r="G51" s="21" t="b">
        <f>A51='2013 BM Detail'!A60</f>
        <v>1</v>
      </c>
    </row>
    <row r="52" spans="1:7" ht="12.75">
      <c r="A52" s="3" t="s">
        <v>305</v>
      </c>
      <c r="B52" s="11">
        <v>552</v>
      </c>
      <c r="C52" s="65">
        <v>386329.29</v>
      </c>
      <c r="G52" s="21" t="b">
        <f>A52='2013 BM Detail'!A61</f>
        <v>1</v>
      </c>
    </row>
    <row r="53" spans="1:7" ht="12.75">
      <c r="A53" s="3" t="s">
        <v>54</v>
      </c>
      <c r="B53" s="11">
        <v>547</v>
      </c>
      <c r="C53" s="65">
        <v>2324417979.45</v>
      </c>
      <c r="G53" s="21" t="b">
        <f>A53='2013 BM Detail'!A62</f>
        <v>1</v>
      </c>
    </row>
    <row r="54" spans="1:7" ht="12.75">
      <c r="A54" s="3" t="s">
        <v>306</v>
      </c>
      <c r="B54" s="11">
        <v>547</v>
      </c>
      <c r="C54" s="65">
        <v>2177973.51</v>
      </c>
      <c r="G54" s="21" t="b">
        <f>A54='2013 BM Detail'!A63</f>
        <v>1</v>
      </c>
    </row>
    <row r="55" spans="1:7" ht="12.75">
      <c r="A55" s="3" t="s">
        <v>56</v>
      </c>
      <c r="B55" s="11">
        <v>548</v>
      </c>
      <c r="C55" s="65">
        <v>19989276.49</v>
      </c>
      <c r="G55" s="21" t="b">
        <f>A55='2013 BM Detail'!A64</f>
        <v>1</v>
      </c>
    </row>
    <row r="56" spans="1:7" ht="12.75">
      <c r="A56" s="3" t="s">
        <v>307</v>
      </c>
      <c r="B56" s="11">
        <v>549</v>
      </c>
      <c r="C56" s="65">
        <v>29988835.58</v>
      </c>
      <c r="G56" s="21" t="b">
        <f>A56='2013 BM Detail'!A65</f>
        <v>1</v>
      </c>
    </row>
    <row r="57" spans="1:7" ht="12.75">
      <c r="A57" s="3" t="s">
        <v>58</v>
      </c>
      <c r="B57" s="11">
        <v>549</v>
      </c>
      <c r="C57" s="65">
        <v>1707719.63</v>
      </c>
      <c r="G57" s="21" t="b">
        <f>A57='2013 BM Detail'!A66</f>
        <v>1</v>
      </c>
    </row>
    <row r="58" spans="1:7" ht="12.75">
      <c r="A58" s="3" t="s">
        <v>343</v>
      </c>
      <c r="B58" s="11">
        <v>549</v>
      </c>
      <c r="C58" s="65">
        <v>0</v>
      </c>
      <c r="G58" s="21" t="b">
        <f>A58='2013 BM Detail'!A67</f>
        <v>1</v>
      </c>
    </row>
    <row r="59" spans="1:7" ht="12.75">
      <c r="A59" s="3" t="s">
        <v>59</v>
      </c>
      <c r="B59" s="11">
        <v>549</v>
      </c>
      <c r="C59" s="65">
        <v>483369.94</v>
      </c>
      <c r="G59" s="21" t="b">
        <f>A59='2013 BM Detail'!A68</f>
        <v>1</v>
      </c>
    </row>
    <row r="60" spans="1:7" ht="12.75">
      <c r="A60" s="3" t="s">
        <v>344</v>
      </c>
      <c r="B60" s="11">
        <v>550</v>
      </c>
      <c r="C60" s="65">
        <v>0</v>
      </c>
      <c r="G60" s="21" t="b">
        <f>A60='2013 BM Detail'!A69</f>
        <v>1</v>
      </c>
    </row>
    <row r="61" spans="1:7" ht="12.75">
      <c r="A61" s="3" t="s">
        <v>308</v>
      </c>
      <c r="B61" s="11">
        <v>551</v>
      </c>
      <c r="C61" s="65">
        <v>9045676</v>
      </c>
      <c r="G61" s="21" t="b">
        <f>A61='2013 BM Detail'!A70</f>
        <v>1</v>
      </c>
    </row>
    <row r="62" spans="1:7" ht="12.75">
      <c r="A62" s="3" t="s">
        <v>309</v>
      </c>
      <c r="B62" s="11">
        <v>552</v>
      </c>
      <c r="C62" s="65">
        <v>293727.96</v>
      </c>
      <c r="G62" s="21" t="b">
        <f>A62='2013 BM Detail'!A71</f>
        <v>1</v>
      </c>
    </row>
    <row r="63" spans="1:7" ht="12.75">
      <c r="A63" s="3" t="s">
        <v>62</v>
      </c>
      <c r="B63" s="11">
        <v>552</v>
      </c>
      <c r="C63" s="65">
        <v>11292081.46</v>
      </c>
      <c r="G63" s="21" t="b">
        <f>A63='2013 BM Detail'!A72</f>
        <v>1</v>
      </c>
    </row>
    <row r="64" spans="1:7" ht="12.75">
      <c r="A64" s="3" t="s">
        <v>63</v>
      </c>
      <c r="B64" s="11">
        <v>552</v>
      </c>
      <c r="C64" s="65">
        <v>209269.47</v>
      </c>
      <c r="G64" s="21" t="b">
        <f>A64='2013 BM Detail'!A73</f>
        <v>1</v>
      </c>
    </row>
    <row r="65" spans="1:7" ht="12.75">
      <c r="A65" s="3" t="s">
        <v>310</v>
      </c>
      <c r="B65" s="11">
        <v>553</v>
      </c>
      <c r="C65" s="65">
        <v>70892244.22</v>
      </c>
      <c r="G65" s="21" t="b">
        <f>A65='2013 BM Detail'!A74</f>
        <v>1</v>
      </c>
    </row>
    <row r="66" spans="1:7" ht="12.75">
      <c r="A66" s="3" t="s">
        <v>65</v>
      </c>
      <c r="B66" s="11">
        <v>553</v>
      </c>
      <c r="C66" s="65">
        <v>0</v>
      </c>
      <c r="G66" s="21" t="b">
        <f>A66='2013 BM Detail'!A75</f>
        <v>1</v>
      </c>
    </row>
    <row r="67" spans="1:7" ht="12.75">
      <c r="A67" s="3" t="s">
        <v>66</v>
      </c>
      <c r="B67" s="11">
        <v>553</v>
      </c>
      <c r="C67" s="65">
        <v>3167257.01</v>
      </c>
      <c r="G67" s="21" t="b">
        <f>A67='2013 BM Detail'!A76</f>
        <v>1</v>
      </c>
    </row>
    <row r="68" spans="1:7" ht="12.75">
      <c r="A68" s="3" t="s">
        <v>311</v>
      </c>
      <c r="B68" s="11">
        <v>554</v>
      </c>
      <c r="C68" s="65">
        <v>4837951.67</v>
      </c>
      <c r="G68" s="21" t="b">
        <f>A68='2013 BM Detail'!A77</f>
        <v>1</v>
      </c>
    </row>
    <row r="69" spans="1:7" ht="12.75">
      <c r="A69" s="3" t="s">
        <v>68</v>
      </c>
      <c r="B69" s="11">
        <v>554</v>
      </c>
      <c r="C69" s="65">
        <v>33179.46</v>
      </c>
      <c r="D69" s="67">
        <f>SUM(C51:C69)</f>
        <v>2494020210.66</v>
      </c>
      <c r="E69" s="21">
        <f>'2013 BM Detail'!C81</f>
        <v>2631268646.14</v>
      </c>
      <c r="F69" s="21" t="b">
        <f>D69=E69</f>
        <v>0</v>
      </c>
      <c r="G69" s="21" t="b">
        <f>A69='2013 BM Detail'!A78</f>
        <v>1</v>
      </c>
    </row>
    <row r="70" spans="1:7" ht="12.75">
      <c r="A70" s="3" t="s">
        <v>312</v>
      </c>
      <c r="B70" s="11">
        <v>555</v>
      </c>
      <c r="C70" s="65">
        <v>467170233.05</v>
      </c>
      <c r="G70" s="21" t="b">
        <f>A70='2013 BM Detail'!A84</f>
        <v>1</v>
      </c>
    </row>
    <row r="71" spans="1:7" ht="12.75">
      <c r="A71" s="3" t="s">
        <v>72</v>
      </c>
      <c r="B71" s="11">
        <v>555</v>
      </c>
      <c r="C71" s="65">
        <v>0</v>
      </c>
      <c r="G71" s="21" t="b">
        <f>A71='2013 BM Detail'!A85</f>
        <v>1</v>
      </c>
    </row>
    <row r="72" spans="1:7" ht="12.75">
      <c r="A72" s="3" t="s">
        <v>73</v>
      </c>
      <c r="B72" s="11">
        <v>555</v>
      </c>
      <c r="C72" s="65">
        <v>0</v>
      </c>
      <c r="G72" s="21" t="b">
        <f>A72='2013 BM Detail'!A86</f>
        <v>1</v>
      </c>
    </row>
    <row r="73" spans="1:7" ht="12.75">
      <c r="A73" s="3" t="s">
        <v>74</v>
      </c>
      <c r="B73" s="11">
        <v>555</v>
      </c>
      <c r="C73" s="65">
        <v>496239809</v>
      </c>
      <c r="G73" s="21" t="b">
        <f>A73='2013 BM Detail'!A87</f>
        <v>1</v>
      </c>
    </row>
    <row r="74" spans="1:7" ht="12.75">
      <c r="A74" s="3" t="s">
        <v>75</v>
      </c>
      <c r="B74" s="11">
        <v>555</v>
      </c>
      <c r="C74" s="65">
        <v>0</v>
      </c>
      <c r="G74" s="21" t="b">
        <f>A74='2013 BM Detail'!A88</f>
        <v>1</v>
      </c>
    </row>
    <row r="75" spans="1:7" ht="12.75">
      <c r="A75" s="3" t="s">
        <v>313</v>
      </c>
      <c r="B75" s="11">
        <v>556</v>
      </c>
      <c r="C75" s="65">
        <v>3338175.28</v>
      </c>
      <c r="G75" s="21" t="b">
        <f>A75='2013 BM Detail'!A89</f>
        <v>1</v>
      </c>
    </row>
    <row r="76" spans="1:7" ht="12.75">
      <c r="A76" s="3" t="s">
        <v>77</v>
      </c>
      <c r="B76" s="11">
        <v>557</v>
      </c>
      <c r="C76" s="65">
        <v>2961018.28</v>
      </c>
      <c r="G76" s="21" t="b">
        <f>A76='2013 BM Detail'!A90</f>
        <v>1</v>
      </c>
    </row>
    <row r="77" spans="1:7" ht="12.75">
      <c r="A77" s="3" t="s">
        <v>314</v>
      </c>
      <c r="B77" s="11">
        <v>557</v>
      </c>
      <c r="C77" s="65">
        <v>39942773.55</v>
      </c>
      <c r="G77" s="21" t="b">
        <f>A77='2013 BM Detail'!A79</f>
        <v>1</v>
      </c>
    </row>
    <row r="78" spans="1:7" ht="12.75">
      <c r="A78" s="3" t="s">
        <v>79</v>
      </c>
      <c r="B78" s="11">
        <v>557</v>
      </c>
      <c r="C78" s="65">
        <v>97305661.93</v>
      </c>
      <c r="G78" s="21" t="b">
        <f>A78='2013 BM Detail'!A80</f>
        <v>1</v>
      </c>
    </row>
    <row r="79" spans="1:7" ht="12.75">
      <c r="A79" s="3" t="s">
        <v>80</v>
      </c>
      <c r="B79" s="11">
        <v>557</v>
      </c>
      <c r="C79" s="65">
        <v>0</v>
      </c>
      <c r="G79" s="21" t="b">
        <f>A79='2013 BM Detail'!A91</f>
        <v>1</v>
      </c>
    </row>
    <row r="80" spans="1:7" ht="12.75">
      <c r="A80" s="3" t="s">
        <v>315</v>
      </c>
      <c r="B80" s="11">
        <v>557</v>
      </c>
      <c r="C80" s="65">
        <v>0</v>
      </c>
      <c r="D80" s="67">
        <f>SUM(C70:C80)</f>
        <v>1106957671.09</v>
      </c>
      <c r="E80" s="21">
        <f>'2013 BM Detail'!C93</f>
        <v>969709235.6099999</v>
      </c>
      <c r="F80" s="21" t="b">
        <f>D80=E80</f>
        <v>0</v>
      </c>
      <c r="G80" s="21" t="b">
        <f>A80='2013 BM Detail'!A92</f>
        <v>1</v>
      </c>
    </row>
    <row r="81" spans="1:7" ht="12.75">
      <c r="A81" s="3" t="s">
        <v>84</v>
      </c>
      <c r="B81" s="11">
        <v>560</v>
      </c>
      <c r="C81" s="65">
        <v>7779252.96</v>
      </c>
      <c r="G81" s="21" t="b">
        <f>A81='2013 BM Detail'!A97</f>
        <v>1</v>
      </c>
    </row>
    <row r="82" spans="1:7" ht="12.75">
      <c r="A82" s="3" t="s">
        <v>85</v>
      </c>
      <c r="B82" s="11">
        <v>561</v>
      </c>
      <c r="C82" s="65">
        <v>4866101.12</v>
      </c>
      <c r="G82" s="21" t="b">
        <f>A82='2013 BM Detail'!A98</f>
        <v>1</v>
      </c>
    </row>
    <row r="83" spans="1:7" ht="12.75">
      <c r="A83" s="3" t="s">
        <v>86</v>
      </c>
      <c r="B83" s="11">
        <v>562</v>
      </c>
      <c r="C83" s="65">
        <v>1675447.19</v>
      </c>
      <c r="G83" s="21" t="b">
        <f>A83='2013 BM Detail'!A99</f>
        <v>1</v>
      </c>
    </row>
    <row r="84" spans="1:7" ht="12.75">
      <c r="A84" s="3" t="s">
        <v>87</v>
      </c>
      <c r="B84" s="11">
        <v>562</v>
      </c>
      <c r="C84" s="65">
        <v>0</v>
      </c>
      <c r="G84" s="21" t="b">
        <f>A84='2013 BM Detail'!A100</f>
        <v>1</v>
      </c>
    </row>
    <row r="85" spans="1:7" ht="12.75">
      <c r="A85" s="3" t="s">
        <v>88</v>
      </c>
      <c r="B85" s="11">
        <v>563</v>
      </c>
      <c r="C85" s="65">
        <v>1197464.37</v>
      </c>
      <c r="G85" s="21" t="b">
        <f>A85='2013 BM Detail'!A101</f>
        <v>1</v>
      </c>
    </row>
    <row r="86" spans="1:7" ht="12.75">
      <c r="A86" s="3" t="s">
        <v>89</v>
      </c>
      <c r="B86" s="11">
        <v>564</v>
      </c>
      <c r="C86" s="65">
        <v>0</v>
      </c>
      <c r="G86" s="21" t="b">
        <f>A86='2013 BM Detail'!A102</f>
        <v>1</v>
      </c>
    </row>
    <row r="87" spans="1:7" ht="12.75">
      <c r="A87" s="3" t="s">
        <v>316</v>
      </c>
      <c r="B87" s="11">
        <v>565</v>
      </c>
      <c r="C87" s="65">
        <v>15038364</v>
      </c>
      <c r="G87" s="21" t="b">
        <f>A87='2013 BM Detail'!A103</f>
        <v>1</v>
      </c>
    </row>
    <row r="88" spans="1:7" ht="12.75">
      <c r="A88" s="3" t="s">
        <v>91</v>
      </c>
      <c r="B88" s="11">
        <v>565</v>
      </c>
      <c r="C88" s="65">
        <v>3</v>
      </c>
      <c r="G88" s="21" t="b">
        <f>A88='2013 BM Detail'!A104</f>
        <v>1</v>
      </c>
    </row>
    <row r="89" spans="1:7" ht="12.75">
      <c r="A89" s="3" t="s">
        <v>92</v>
      </c>
      <c r="B89" s="11">
        <v>565</v>
      </c>
      <c r="C89" s="65">
        <v>5995701.87</v>
      </c>
      <c r="G89" s="21" t="b">
        <f>A89='2013 BM Detail'!A105</f>
        <v>1</v>
      </c>
    </row>
    <row r="90" spans="1:7" ht="12.75">
      <c r="A90" s="3" t="s">
        <v>93</v>
      </c>
      <c r="B90" s="11">
        <v>565</v>
      </c>
      <c r="C90" s="65">
        <v>0</v>
      </c>
      <c r="G90" s="21" t="b">
        <f>A90='2013 BM Detail'!A106</f>
        <v>1</v>
      </c>
    </row>
    <row r="91" spans="1:7" ht="12.75">
      <c r="A91" s="3" t="s">
        <v>94</v>
      </c>
      <c r="B91" s="11">
        <v>566</v>
      </c>
      <c r="C91" s="65">
        <v>4658790.88</v>
      </c>
      <c r="G91" s="21" t="b">
        <f>A91='2013 BM Detail'!A107</f>
        <v>1</v>
      </c>
    </row>
    <row r="92" spans="1:7" ht="12.75">
      <c r="A92" s="3" t="s">
        <v>95</v>
      </c>
      <c r="B92" s="11">
        <v>567</v>
      </c>
      <c r="C92" s="65">
        <v>0</v>
      </c>
      <c r="G92" s="21" t="b">
        <f>A92='2013 BM Detail'!A108</f>
        <v>1</v>
      </c>
    </row>
    <row r="93" spans="1:7" ht="12.75">
      <c r="A93" s="3" t="s">
        <v>96</v>
      </c>
      <c r="B93" s="11">
        <v>568</v>
      </c>
      <c r="C93" s="65">
        <v>914794.69</v>
      </c>
      <c r="G93" s="21" t="b">
        <f>A93='2013 BM Detail'!A109</f>
        <v>1</v>
      </c>
    </row>
    <row r="94" spans="1:7" ht="12.75">
      <c r="A94" s="3" t="s">
        <v>97</v>
      </c>
      <c r="B94" s="11">
        <v>569</v>
      </c>
      <c r="C94" s="65">
        <v>6283359.03</v>
      </c>
      <c r="G94" s="21" t="b">
        <f>A94='2013 BM Detail'!A110</f>
        <v>1</v>
      </c>
    </row>
    <row r="95" spans="1:7" ht="12.75">
      <c r="A95" s="3" t="s">
        <v>98</v>
      </c>
      <c r="B95" s="11">
        <v>570</v>
      </c>
      <c r="C95" s="65">
        <v>5770250.69</v>
      </c>
      <c r="G95" s="21" t="b">
        <f>A95='2013 BM Detail'!A111</f>
        <v>1</v>
      </c>
    </row>
    <row r="96" spans="1:7" ht="12.75">
      <c r="A96" s="3" t="s">
        <v>99</v>
      </c>
      <c r="B96" s="11">
        <v>570</v>
      </c>
      <c r="C96" s="65">
        <v>0</v>
      </c>
      <c r="G96" s="21" t="b">
        <f>A96='2013 BM Detail'!A112</f>
        <v>1</v>
      </c>
    </row>
    <row r="97" spans="1:7" ht="12.75">
      <c r="A97" s="3" t="s">
        <v>100</v>
      </c>
      <c r="B97" s="11">
        <v>570</v>
      </c>
      <c r="C97" s="65">
        <v>920105</v>
      </c>
      <c r="G97" s="21" t="b">
        <f>A97='2013 BM Detail'!A113</f>
        <v>1</v>
      </c>
    </row>
    <row r="98" spans="1:7" ht="12.75">
      <c r="A98" s="3" t="s">
        <v>101</v>
      </c>
      <c r="B98" s="11">
        <v>571</v>
      </c>
      <c r="C98" s="65">
        <v>12247360.66</v>
      </c>
      <c r="G98" s="21" t="b">
        <f>A98='2013 BM Detail'!A114</f>
        <v>1</v>
      </c>
    </row>
    <row r="99" spans="1:7" ht="12.75">
      <c r="A99" s="3" t="s">
        <v>102</v>
      </c>
      <c r="B99" s="11">
        <v>572</v>
      </c>
      <c r="C99" s="65">
        <v>1254068.79</v>
      </c>
      <c r="G99" s="21" t="b">
        <f>A99='2013 BM Detail'!A115</f>
        <v>1</v>
      </c>
    </row>
    <row r="100" spans="1:7" ht="12.75">
      <c r="A100" s="3" t="s">
        <v>103</v>
      </c>
      <c r="B100" s="11">
        <v>573</v>
      </c>
      <c r="C100" s="65">
        <v>542572.59</v>
      </c>
      <c r="D100" s="67">
        <f>SUM(C81:C100)</f>
        <v>69143636.84</v>
      </c>
      <c r="E100" s="21">
        <f>'2013 BM Detail'!$C$117</f>
        <v>69143636.84</v>
      </c>
      <c r="F100" s="21" t="b">
        <f>D100=E100</f>
        <v>1</v>
      </c>
      <c r="G100" s="21" t="b">
        <f>A100='2013 BM Detail'!A116</f>
        <v>1</v>
      </c>
    </row>
    <row r="101" spans="1:7" ht="12.75">
      <c r="A101" s="3" t="s">
        <v>106</v>
      </c>
      <c r="B101" s="11">
        <v>580</v>
      </c>
      <c r="C101" s="65">
        <v>12548290.86</v>
      </c>
      <c r="G101" s="21" t="b">
        <f>A101='2013 BM Detail'!A120</f>
        <v>1</v>
      </c>
    </row>
    <row r="102" spans="1:7" ht="12.75">
      <c r="A102" s="3" t="s">
        <v>107</v>
      </c>
      <c r="B102" s="11">
        <v>581</v>
      </c>
      <c r="C102" s="65">
        <v>1070808.58</v>
      </c>
      <c r="G102" s="21" t="b">
        <f>A102='2013 BM Detail'!A121</f>
        <v>1</v>
      </c>
    </row>
    <row r="103" spans="1:7" ht="12.75">
      <c r="A103" s="3" t="s">
        <v>108</v>
      </c>
      <c r="B103" s="11">
        <v>582</v>
      </c>
      <c r="C103" s="65">
        <v>3152833.06</v>
      </c>
      <c r="G103" s="21" t="b">
        <f>A103='2013 BM Detail'!A122</f>
        <v>1</v>
      </c>
    </row>
    <row r="104" spans="1:7" ht="12.75">
      <c r="A104" s="3" t="s">
        <v>109</v>
      </c>
      <c r="B104" s="11">
        <v>583</v>
      </c>
      <c r="C104" s="65">
        <v>20282992.76</v>
      </c>
      <c r="G104" s="21" t="b">
        <f>A104='2013 BM Detail'!A123</f>
        <v>1</v>
      </c>
    </row>
    <row r="105" spans="1:7" ht="12.75">
      <c r="A105" s="3" t="s">
        <v>110</v>
      </c>
      <c r="B105" s="11">
        <v>584</v>
      </c>
      <c r="C105" s="65">
        <v>6380810.76</v>
      </c>
      <c r="G105" s="21" t="b">
        <f>A105='2013 BM Detail'!A124</f>
        <v>1</v>
      </c>
    </row>
    <row r="106" spans="1:7" ht="12.75">
      <c r="A106" s="3" t="s">
        <v>317</v>
      </c>
      <c r="B106" s="11">
        <v>585</v>
      </c>
      <c r="C106" s="65">
        <v>3291160.5</v>
      </c>
      <c r="G106" s="21" t="b">
        <f>A106='2013 BM Detail'!A125</f>
        <v>1</v>
      </c>
    </row>
    <row r="107" spans="1:7" ht="12.75">
      <c r="A107" s="3" t="s">
        <v>112</v>
      </c>
      <c r="B107" s="11">
        <v>586</v>
      </c>
      <c r="C107" s="65">
        <v>14947671.02</v>
      </c>
      <c r="G107" s="21" t="b">
        <f>A107='2013 BM Detail'!A126</f>
        <v>1</v>
      </c>
    </row>
    <row r="108" spans="1:7" ht="12.75">
      <c r="A108" s="3" t="s">
        <v>113</v>
      </c>
      <c r="B108" s="11">
        <v>587</v>
      </c>
      <c r="C108" s="65">
        <v>2048409.32</v>
      </c>
      <c r="G108" s="21" t="b">
        <f>A108='2013 BM Detail'!A127</f>
        <v>1</v>
      </c>
    </row>
    <row r="109" spans="1:7" ht="12.75">
      <c r="A109" s="3" t="s">
        <v>114</v>
      </c>
      <c r="B109" s="11">
        <v>587</v>
      </c>
      <c r="C109" s="65">
        <v>444320.06</v>
      </c>
      <c r="G109" s="21" t="b">
        <f>A109='2013 BM Detail'!A128</f>
        <v>1</v>
      </c>
    </row>
    <row r="110" spans="1:7" ht="12.75">
      <c r="A110" s="3" t="s">
        <v>115</v>
      </c>
      <c r="B110" s="11">
        <v>588</v>
      </c>
      <c r="C110" s="65">
        <v>26954772.36</v>
      </c>
      <c r="G110" s="21" t="b">
        <f>A110='2013 BM Detail'!A129</f>
        <v>1</v>
      </c>
    </row>
    <row r="111" spans="1:7" ht="12.75">
      <c r="A111" s="3" t="s">
        <v>116</v>
      </c>
      <c r="B111" s="11">
        <v>589</v>
      </c>
      <c r="C111" s="65">
        <v>8821216.13</v>
      </c>
      <c r="G111" s="21" t="b">
        <f>A111='2013 BM Detail'!A130</f>
        <v>1</v>
      </c>
    </row>
    <row r="112" spans="1:7" ht="12.75">
      <c r="A112" s="3" t="s">
        <v>318</v>
      </c>
      <c r="B112" s="11">
        <v>590</v>
      </c>
      <c r="C112" s="65">
        <v>13246461.43</v>
      </c>
      <c r="G112" s="21" t="b">
        <f>A112='2013 BM Detail'!A131</f>
        <v>1</v>
      </c>
    </row>
    <row r="113" spans="1:7" ht="12.75">
      <c r="A113" s="3" t="s">
        <v>319</v>
      </c>
      <c r="B113" s="11">
        <v>590</v>
      </c>
      <c r="C113" s="65">
        <v>1877768.91</v>
      </c>
      <c r="G113" s="21" t="b">
        <f>A113='2013 BM Detail'!A132</f>
        <v>1</v>
      </c>
    </row>
    <row r="114" spans="1:7" ht="12.75">
      <c r="A114" s="3" t="s">
        <v>119</v>
      </c>
      <c r="B114" s="11">
        <v>591</v>
      </c>
      <c r="C114" s="65">
        <v>0</v>
      </c>
      <c r="G114" s="21" t="b">
        <f>A114='2013 BM Detail'!A133</f>
        <v>1</v>
      </c>
    </row>
    <row r="115" spans="1:7" ht="12.75">
      <c r="A115" s="3" t="s">
        <v>120</v>
      </c>
      <c r="B115" s="11">
        <v>592</v>
      </c>
      <c r="C115" s="65">
        <v>7928781.11</v>
      </c>
      <c r="G115" s="21" t="b">
        <f>A115='2013 BM Detail'!A134</f>
        <v>1</v>
      </c>
    </row>
    <row r="116" spans="1:7" ht="12.75">
      <c r="A116" s="3" t="s">
        <v>121</v>
      </c>
      <c r="B116" s="11">
        <v>592</v>
      </c>
      <c r="C116" s="65">
        <v>5574606.04</v>
      </c>
      <c r="G116" s="21" t="b">
        <f>A116='2013 BM Detail'!A135</f>
        <v>1</v>
      </c>
    </row>
    <row r="117" spans="1:7" ht="12.75">
      <c r="A117" s="3" t="s">
        <v>122</v>
      </c>
      <c r="B117" s="11">
        <v>593</v>
      </c>
      <c r="C117" s="65">
        <v>116780870.01</v>
      </c>
      <c r="G117" s="21" t="b">
        <f>A117='2013 BM Detail'!A136</f>
        <v>1</v>
      </c>
    </row>
    <row r="118" spans="1:7" ht="12.75">
      <c r="A118" s="3" t="s">
        <v>123</v>
      </c>
      <c r="B118" s="11">
        <v>594</v>
      </c>
      <c r="C118" s="65">
        <v>34463070.25</v>
      </c>
      <c r="G118" s="21" t="b">
        <f>A118='2013 BM Detail'!A137</f>
        <v>1</v>
      </c>
    </row>
    <row r="119" spans="1:7" ht="12.75">
      <c r="A119" s="3" t="s">
        <v>124</v>
      </c>
      <c r="B119" s="11">
        <v>595</v>
      </c>
      <c r="C119" s="65">
        <v>25332.38</v>
      </c>
      <c r="G119" s="21" t="b">
        <f>A119='2013 BM Detail'!A138</f>
        <v>1</v>
      </c>
    </row>
    <row r="120" spans="1:7" ht="12.75">
      <c r="A120" s="3" t="s">
        <v>320</v>
      </c>
      <c r="B120" s="11">
        <v>596</v>
      </c>
      <c r="C120" s="65">
        <v>6151739.71</v>
      </c>
      <c r="G120" s="21" t="b">
        <f>A120='2013 BM Detail'!A139</f>
        <v>1</v>
      </c>
    </row>
    <row r="121" spans="1:7" ht="12.75">
      <c r="A121" s="3" t="s">
        <v>126</v>
      </c>
      <c r="B121" s="11">
        <v>597</v>
      </c>
      <c r="C121" s="65">
        <v>2806259.28</v>
      </c>
      <c r="G121" s="21" t="b">
        <f>A121='2013 BM Detail'!A140</f>
        <v>1</v>
      </c>
    </row>
    <row r="122" spans="1:7" ht="12.75">
      <c r="A122" s="3" t="s">
        <v>321</v>
      </c>
      <c r="B122" s="11">
        <v>598</v>
      </c>
      <c r="C122" s="65">
        <v>5761235.41</v>
      </c>
      <c r="D122" s="67">
        <f>SUM(C101:C122)</f>
        <v>294559409.94</v>
      </c>
      <c r="E122" s="21">
        <f>'2013 BM Detail'!C142</f>
        <v>294559409.94</v>
      </c>
      <c r="F122" s="21" t="b">
        <f>D122=E122</f>
        <v>1</v>
      </c>
      <c r="G122" s="21" t="b">
        <f>A122='2013 BM Detail'!A141</f>
        <v>1</v>
      </c>
    </row>
    <row r="123" spans="1:7" ht="12.75">
      <c r="A123" s="3" t="s">
        <v>130</v>
      </c>
      <c r="B123" s="11">
        <v>901</v>
      </c>
      <c r="C123" s="65">
        <v>4275593.79</v>
      </c>
      <c r="G123" s="21" t="b">
        <f>A123='2013 BM Detail'!A146</f>
        <v>1</v>
      </c>
    </row>
    <row r="124" spans="1:7" ht="12.75">
      <c r="A124" s="3" t="s">
        <v>131</v>
      </c>
      <c r="B124" s="11">
        <v>902</v>
      </c>
      <c r="C124" s="65">
        <v>33418384.02</v>
      </c>
      <c r="G124" s="21" t="b">
        <f>A124='2013 BM Detail'!A147</f>
        <v>1</v>
      </c>
    </row>
    <row r="125" spans="1:7" ht="12.75">
      <c r="A125" s="3" t="s">
        <v>322</v>
      </c>
      <c r="B125" s="11">
        <v>903</v>
      </c>
      <c r="C125" s="65">
        <v>94157957.79</v>
      </c>
      <c r="G125" s="21" t="b">
        <f>A125='2013 BM Detail'!A148</f>
        <v>1</v>
      </c>
    </row>
    <row r="126" spans="1:7" ht="12.75">
      <c r="A126" s="3" t="s">
        <v>133</v>
      </c>
      <c r="B126" s="11">
        <v>904</v>
      </c>
      <c r="C126" s="65">
        <v>18407702.71</v>
      </c>
      <c r="G126" s="21" t="b">
        <f>A126='2013 BM Detail'!A149</f>
        <v>1</v>
      </c>
    </row>
    <row r="127" spans="1:7" ht="12.75">
      <c r="A127" s="3" t="s">
        <v>345</v>
      </c>
      <c r="B127" s="11">
        <v>904</v>
      </c>
      <c r="C127" s="65">
        <v>0</v>
      </c>
      <c r="G127" s="21" t="b">
        <f>A127='2013 BM Detail'!A150</f>
        <v>1</v>
      </c>
    </row>
    <row r="128" spans="1:7" ht="12.75">
      <c r="A128" s="3" t="s">
        <v>135</v>
      </c>
      <c r="B128" s="11">
        <v>905</v>
      </c>
      <c r="C128" s="65">
        <v>0</v>
      </c>
      <c r="D128" s="67">
        <f>SUM(C123:C128)</f>
        <v>150259638.31</v>
      </c>
      <c r="E128" s="21">
        <f>'2013 BM Detail'!C152</f>
        <v>150259638.31</v>
      </c>
      <c r="F128" s="21" t="b">
        <f>D128=E128</f>
        <v>1</v>
      </c>
      <c r="G128" s="21" t="b">
        <f>A128='2013 BM Detail'!A151</f>
        <v>1</v>
      </c>
    </row>
    <row r="129" spans="1:7" ht="12.75">
      <c r="A129" s="3" t="s">
        <v>138</v>
      </c>
      <c r="B129" s="11">
        <v>907</v>
      </c>
      <c r="C129" s="65">
        <v>3382156.04</v>
      </c>
      <c r="G129" s="21" t="b">
        <f>A129='2013 BM Detail'!A156</f>
        <v>1</v>
      </c>
    </row>
    <row r="130" spans="1:7" ht="12.75">
      <c r="A130" s="3" t="s">
        <v>323</v>
      </c>
      <c r="B130" s="11">
        <v>907</v>
      </c>
      <c r="C130" s="65">
        <v>9158231.93</v>
      </c>
      <c r="G130" s="21" t="b">
        <f>A130='2013 BM Detail'!A157</f>
        <v>1</v>
      </c>
    </row>
    <row r="131" spans="1:7" ht="12.75">
      <c r="A131" s="3" t="s">
        <v>140</v>
      </c>
      <c r="B131" s="11">
        <v>908</v>
      </c>
      <c r="C131" s="65">
        <v>3151402.33</v>
      </c>
      <c r="G131" s="21" t="b">
        <f>A131='2013 BM Detail'!A158</f>
        <v>1</v>
      </c>
    </row>
    <row r="132" spans="1:7" ht="12.75">
      <c r="A132" s="3" t="s">
        <v>324</v>
      </c>
      <c r="B132" s="11">
        <v>908</v>
      </c>
      <c r="C132" s="65">
        <v>102734636.73</v>
      </c>
      <c r="G132" s="21" t="b">
        <f>A132='2013 BM Detail'!A159</f>
        <v>1</v>
      </c>
    </row>
    <row r="133" spans="1:7" ht="12.75">
      <c r="A133" s="3" t="s">
        <v>142</v>
      </c>
      <c r="B133" s="11">
        <v>909</v>
      </c>
      <c r="C133" s="65">
        <v>821179.23</v>
      </c>
      <c r="G133" s="21" t="b">
        <f>A133='2013 BM Detail'!A160</f>
        <v>1</v>
      </c>
    </row>
    <row r="134" spans="1:7" ht="12.75">
      <c r="A134" s="3" t="s">
        <v>143</v>
      </c>
      <c r="B134" s="11">
        <v>909</v>
      </c>
      <c r="C134" s="65">
        <v>8507568.5</v>
      </c>
      <c r="G134" s="21" t="b">
        <f>A134='2013 BM Detail'!A161</f>
        <v>1</v>
      </c>
    </row>
    <row r="135" spans="1:7" ht="12.75">
      <c r="A135" s="3" t="s">
        <v>144</v>
      </c>
      <c r="B135" s="11">
        <v>910</v>
      </c>
      <c r="C135" s="65">
        <v>5496431.95</v>
      </c>
      <c r="G135" s="21" t="b">
        <f>A135='2013 BM Detail'!A162</f>
        <v>1</v>
      </c>
    </row>
    <row r="136" spans="1:7" ht="12.75">
      <c r="A136" s="3" t="s">
        <v>325</v>
      </c>
      <c r="B136" s="11">
        <v>910</v>
      </c>
      <c r="C136" s="65">
        <v>4185951.5</v>
      </c>
      <c r="D136" s="67">
        <f>SUM(C129:C136)</f>
        <v>137437558.21</v>
      </c>
      <c r="E136" s="21">
        <f>'2013 BM Detail'!C164</f>
        <v>137437558.21</v>
      </c>
      <c r="F136" s="21" t="b">
        <f>D136=E136</f>
        <v>1</v>
      </c>
      <c r="G136" s="21" t="b">
        <f>A136='2013 BM Detail'!A163</f>
        <v>1</v>
      </c>
    </row>
    <row r="137" spans="1:7" ht="12.75">
      <c r="A137" s="3" t="s">
        <v>148</v>
      </c>
      <c r="B137" s="11">
        <v>911</v>
      </c>
      <c r="C137" s="65">
        <v>0</v>
      </c>
      <c r="G137" s="21" t="b">
        <f>A137='2013 BM Detail'!A167</f>
        <v>1</v>
      </c>
    </row>
    <row r="138" spans="1:7" ht="12.75">
      <c r="A138" s="3" t="s">
        <v>149</v>
      </c>
      <c r="B138" s="11">
        <v>912</v>
      </c>
      <c r="C138" s="65">
        <v>0</v>
      </c>
      <c r="G138" s="21" t="b">
        <f>A138='2013 BM Detail'!A168</f>
        <v>1</v>
      </c>
    </row>
    <row r="139" spans="1:7" ht="12.75">
      <c r="A139" s="3" t="s">
        <v>150</v>
      </c>
      <c r="B139" s="11">
        <v>916</v>
      </c>
      <c r="C139" s="65">
        <v>15169938.61</v>
      </c>
      <c r="D139" s="67">
        <f>SUM(C137:C139)</f>
        <v>15169938.61</v>
      </c>
      <c r="E139" s="21">
        <f>'2013 BM Detail'!C170</f>
        <v>15169938.61</v>
      </c>
      <c r="F139" s="21" t="b">
        <f>D139=E139</f>
        <v>1</v>
      </c>
      <c r="G139" s="21" t="b">
        <f>A139='2013 BM Detail'!A169</f>
        <v>1</v>
      </c>
    </row>
    <row r="140" spans="1:7" ht="12.75">
      <c r="A140" s="3" t="s">
        <v>153</v>
      </c>
      <c r="B140" s="11">
        <v>920</v>
      </c>
      <c r="C140" s="65">
        <v>202048226.98</v>
      </c>
      <c r="G140" s="21" t="b">
        <f>A140='2013 BM Detail'!A174</f>
        <v>1</v>
      </c>
    </row>
    <row r="141" spans="1:7" ht="12.75">
      <c r="A141" s="3" t="s">
        <v>346</v>
      </c>
      <c r="B141" s="11">
        <v>920</v>
      </c>
      <c r="C141" s="65">
        <v>0</v>
      </c>
      <c r="G141" s="21" t="b">
        <f>A141='2013 BM Detail'!A175</f>
        <v>1</v>
      </c>
    </row>
    <row r="142" spans="1:7" ht="12.75">
      <c r="A142" s="3" t="s">
        <v>155</v>
      </c>
      <c r="B142" s="11">
        <v>921</v>
      </c>
      <c r="C142" s="65">
        <v>62964861.45</v>
      </c>
      <c r="G142" s="21" t="b">
        <f>A142='2013 BM Detail'!A176</f>
        <v>1</v>
      </c>
    </row>
    <row r="143" spans="1:7" ht="12.75">
      <c r="A143" s="3" t="s">
        <v>347</v>
      </c>
      <c r="B143" s="11">
        <v>921</v>
      </c>
      <c r="C143" s="65">
        <v>0</v>
      </c>
      <c r="G143" s="21" t="b">
        <f>A143='2013 BM Detail'!A177</f>
        <v>1</v>
      </c>
    </row>
    <row r="144" spans="1:7" ht="12.75">
      <c r="A144" s="3" t="s">
        <v>157</v>
      </c>
      <c r="B144" s="11">
        <v>921</v>
      </c>
      <c r="C144" s="65">
        <v>125000</v>
      </c>
      <c r="G144" s="21" t="b">
        <f>A144='2013 BM Detail'!A178</f>
        <v>1</v>
      </c>
    </row>
    <row r="145" spans="1:7" ht="12.75">
      <c r="A145" s="3" t="s">
        <v>326</v>
      </c>
      <c r="B145" s="11">
        <v>922</v>
      </c>
      <c r="C145" s="65">
        <v>-80944295.25</v>
      </c>
      <c r="G145" s="21" t="b">
        <f>A145='2013 BM Detail'!A179</f>
        <v>1</v>
      </c>
    </row>
    <row r="146" spans="1:7" ht="12.75">
      <c r="A146" s="3" t="s">
        <v>159</v>
      </c>
      <c r="B146" s="11">
        <v>922</v>
      </c>
      <c r="C146" s="65">
        <v>0</v>
      </c>
      <c r="G146" s="21" t="b">
        <f>A146='2013 BM Detail'!A180</f>
        <v>1</v>
      </c>
    </row>
    <row r="147" spans="1:7" ht="12.75">
      <c r="A147" s="3" t="s">
        <v>160</v>
      </c>
      <c r="B147" s="11">
        <v>922</v>
      </c>
      <c r="C147" s="65">
        <v>0</v>
      </c>
      <c r="G147" s="21" t="b">
        <f>A147='2013 BM Detail'!A181</f>
        <v>1</v>
      </c>
    </row>
    <row r="148" spans="1:7" ht="12.75">
      <c r="A148" s="3" t="s">
        <v>161</v>
      </c>
      <c r="B148" s="11">
        <v>923</v>
      </c>
      <c r="C148" s="65">
        <v>41412436.62</v>
      </c>
      <c r="G148" s="21" t="b">
        <f>A148='2013 BM Detail'!A182</f>
        <v>1</v>
      </c>
    </row>
    <row r="149" spans="1:7" ht="12.75">
      <c r="A149" s="3" t="s">
        <v>162</v>
      </c>
      <c r="B149" s="11">
        <v>923</v>
      </c>
      <c r="C149" s="65">
        <v>0</v>
      </c>
      <c r="G149" s="21" t="b">
        <f>A149='2013 BM Detail'!A183</f>
        <v>1</v>
      </c>
    </row>
    <row r="150" spans="1:7" ht="12.75">
      <c r="A150" s="3" t="s">
        <v>163</v>
      </c>
      <c r="B150" s="11">
        <v>923</v>
      </c>
      <c r="C150" s="65">
        <v>326000</v>
      </c>
      <c r="G150" s="21" t="b">
        <f>A150='2013 BM Detail'!A184</f>
        <v>1</v>
      </c>
    </row>
    <row r="151" spans="1:7" ht="12.75">
      <c r="A151" s="3" t="s">
        <v>348</v>
      </c>
      <c r="B151" s="11">
        <v>923</v>
      </c>
      <c r="C151" s="65">
        <v>0</v>
      </c>
      <c r="G151" s="21" t="b">
        <f>A151='2013 BM Detail'!A185</f>
        <v>1</v>
      </c>
    </row>
    <row r="152" spans="1:7" ht="12.75">
      <c r="A152" s="3" t="s">
        <v>164</v>
      </c>
      <c r="B152" s="11">
        <v>924</v>
      </c>
      <c r="C152" s="65">
        <v>20415986</v>
      </c>
      <c r="G152" s="21" t="b">
        <f>A152='2013 BM Detail'!A186</f>
        <v>1</v>
      </c>
    </row>
    <row r="153" spans="1:7" ht="12.75">
      <c r="A153" s="3" t="s">
        <v>165</v>
      </c>
      <c r="B153" s="11">
        <v>924</v>
      </c>
      <c r="C153" s="65">
        <v>2288623</v>
      </c>
      <c r="G153" s="21" t="b">
        <f>A153='2013 BM Detail'!A187</f>
        <v>1</v>
      </c>
    </row>
    <row r="154" spans="1:7" ht="12.75">
      <c r="A154" s="3" t="s">
        <v>166</v>
      </c>
      <c r="B154" s="11">
        <v>924</v>
      </c>
      <c r="C154" s="65">
        <v>0</v>
      </c>
      <c r="G154" s="21" t="b">
        <f>A154='2013 BM Detail'!A188</f>
        <v>1</v>
      </c>
    </row>
    <row r="155" spans="1:7" ht="12.75">
      <c r="A155" s="3" t="s">
        <v>167</v>
      </c>
      <c r="B155" s="11">
        <v>924</v>
      </c>
      <c r="C155" s="65">
        <v>0</v>
      </c>
      <c r="G155" s="21" t="b">
        <f>A155='2013 BM Detail'!A189</f>
        <v>1</v>
      </c>
    </row>
    <row r="156" spans="1:7" ht="12.75">
      <c r="A156" s="3" t="s">
        <v>168</v>
      </c>
      <c r="B156" s="11">
        <v>925</v>
      </c>
      <c r="C156" s="65">
        <v>30667746.96</v>
      </c>
      <c r="G156" s="21" t="b">
        <f>A156='2013 BM Detail'!A190</f>
        <v>1</v>
      </c>
    </row>
    <row r="157" spans="1:7" ht="12.75">
      <c r="A157" s="3" t="s">
        <v>169</v>
      </c>
      <c r="B157" s="11">
        <v>925</v>
      </c>
      <c r="C157" s="65">
        <v>370070.97</v>
      </c>
      <c r="G157" s="21" t="b">
        <f>A157='2013 BM Detail'!A191</f>
        <v>1</v>
      </c>
    </row>
    <row r="158" spans="1:7" ht="12.75">
      <c r="A158" s="3" t="s">
        <v>349</v>
      </c>
      <c r="B158" s="11">
        <v>925</v>
      </c>
      <c r="C158" s="65">
        <v>0</v>
      </c>
      <c r="G158" s="21" t="b">
        <f>A158='2013 BM Detail'!A192</f>
        <v>1</v>
      </c>
    </row>
    <row r="159" spans="1:7" ht="12.75">
      <c r="A159" s="3" t="s">
        <v>350</v>
      </c>
      <c r="B159" s="11">
        <v>925</v>
      </c>
      <c r="C159" s="65">
        <v>362273.58</v>
      </c>
      <c r="G159" s="21" t="b">
        <f>A159='2013 BM Detail'!A193</f>
        <v>1</v>
      </c>
    </row>
    <row r="160" spans="1:7" ht="12.75">
      <c r="A160" s="3" t="s">
        <v>351</v>
      </c>
      <c r="B160" s="11">
        <v>925</v>
      </c>
      <c r="C160" s="65">
        <v>19041.47</v>
      </c>
      <c r="G160" s="21" t="b">
        <f>A160='2013 BM Detail'!A194</f>
        <v>1</v>
      </c>
    </row>
    <row r="161" spans="1:7" ht="12.75">
      <c r="A161" s="3" t="s">
        <v>170</v>
      </c>
      <c r="B161" s="11">
        <v>925</v>
      </c>
      <c r="C161" s="65">
        <v>0</v>
      </c>
      <c r="G161" s="21" t="b">
        <f>A161='2013 BM Detail'!A195</f>
        <v>1</v>
      </c>
    </row>
    <row r="162" spans="1:7" ht="12.75">
      <c r="A162" s="3" t="s">
        <v>171</v>
      </c>
      <c r="B162" s="11">
        <v>926</v>
      </c>
      <c r="C162" s="65">
        <v>107783315.89</v>
      </c>
      <c r="G162" s="21" t="b">
        <f>A162='2013 BM Detail'!A196</f>
        <v>1</v>
      </c>
    </row>
    <row r="163" spans="1:7" ht="12.75">
      <c r="A163" s="3" t="s">
        <v>172</v>
      </c>
      <c r="B163" s="11">
        <v>926</v>
      </c>
      <c r="C163" s="65">
        <v>0</v>
      </c>
      <c r="G163" s="21" t="b">
        <f>A163='2013 BM Detail'!A197</f>
        <v>1</v>
      </c>
    </row>
    <row r="164" spans="1:7" ht="12.75">
      <c r="A164" s="3" t="s">
        <v>173</v>
      </c>
      <c r="B164" s="11">
        <v>926</v>
      </c>
      <c r="C164" s="65">
        <v>359695.26</v>
      </c>
      <c r="G164" s="21" t="b">
        <f>A164='2013 BM Detail'!A198</f>
        <v>1</v>
      </c>
    </row>
    <row r="165" spans="1:7" ht="12.75">
      <c r="A165" s="3" t="s">
        <v>352</v>
      </c>
      <c r="B165" s="11">
        <v>926</v>
      </c>
      <c r="C165" s="65">
        <v>-1585.94</v>
      </c>
      <c r="G165" s="21" t="b">
        <f>A165='2013 BM Detail'!A199</f>
        <v>1</v>
      </c>
    </row>
    <row r="166" spans="1:7" ht="12.75">
      <c r="A166" s="3" t="s">
        <v>353</v>
      </c>
      <c r="B166" s="11">
        <v>926</v>
      </c>
      <c r="C166" s="65">
        <v>0</v>
      </c>
      <c r="G166" s="21" t="b">
        <f>A166='2013 BM Detail'!A200</f>
        <v>1</v>
      </c>
    </row>
    <row r="167" spans="1:7" ht="12.75">
      <c r="A167" s="3" t="s">
        <v>174</v>
      </c>
      <c r="B167" s="11">
        <v>926</v>
      </c>
      <c r="C167" s="65">
        <v>3463507.15</v>
      </c>
      <c r="G167" s="21" t="b">
        <f>A167='2013 BM Detail'!A201</f>
        <v>1</v>
      </c>
    </row>
    <row r="168" spans="1:7" ht="12.75">
      <c r="A168" s="3" t="s">
        <v>354</v>
      </c>
      <c r="B168" s="11">
        <v>926</v>
      </c>
      <c r="C168" s="65">
        <v>0</v>
      </c>
      <c r="G168" s="21" t="b">
        <f>A168='2013 BM Detail'!A202</f>
        <v>1</v>
      </c>
    </row>
    <row r="169" spans="1:7" ht="12.75">
      <c r="A169" s="3" t="s">
        <v>176</v>
      </c>
      <c r="B169" s="11">
        <v>926</v>
      </c>
      <c r="C169" s="65">
        <v>0</v>
      </c>
      <c r="G169" s="21" t="b">
        <f>A169='2013 BM Detail'!A203</f>
        <v>1</v>
      </c>
    </row>
    <row r="170" spans="1:7" ht="12.75">
      <c r="A170" s="3" t="s">
        <v>177</v>
      </c>
      <c r="B170" s="11">
        <v>928</v>
      </c>
      <c r="C170" s="65">
        <v>2457679.5</v>
      </c>
      <c r="G170" s="21" t="b">
        <f>A170='2013 BM Detail'!A204</f>
        <v>1</v>
      </c>
    </row>
    <row r="171" spans="1:7" ht="12.75">
      <c r="A171" s="3" t="s">
        <v>178</v>
      </c>
      <c r="B171" s="11">
        <v>928</v>
      </c>
      <c r="C171" s="65">
        <v>539580.01</v>
      </c>
      <c r="G171" s="21" t="b">
        <f>A171='2013 BM Detail'!A205</f>
        <v>1</v>
      </c>
    </row>
    <row r="172" spans="1:7" ht="12.75">
      <c r="A172" s="3" t="s">
        <v>355</v>
      </c>
      <c r="B172" s="11">
        <v>928</v>
      </c>
      <c r="C172" s="65">
        <v>860000.04</v>
      </c>
      <c r="G172" s="21" t="b">
        <f>A172='2013 BM Detail'!A206</f>
        <v>1</v>
      </c>
    </row>
    <row r="173" spans="1:7" ht="12.75">
      <c r="A173" s="3" t="s">
        <v>327</v>
      </c>
      <c r="B173" s="11">
        <v>929</v>
      </c>
      <c r="C173" s="65">
        <v>0.01</v>
      </c>
      <c r="G173" s="21" t="b">
        <f>A173='2013 BM Detail'!A207</f>
        <v>1</v>
      </c>
    </row>
    <row r="174" spans="1:7" ht="12.75">
      <c r="A174" s="3" t="s">
        <v>181</v>
      </c>
      <c r="B174" s="11">
        <v>930</v>
      </c>
      <c r="C174" s="65">
        <v>18315839.1</v>
      </c>
      <c r="G174" s="21" t="b">
        <f>A174='2013 BM Detail'!A208</f>
        <v>1</v>
      </c>
    </row>
    <row r="175" spans="1:7" ht="12.75">
      <c r="A175" s="3" t="s">
        <v>182</v>
      </c>
      <c r="B175" s="11">
        <v>930</v>
      </c>
      <c r="C175" s="65">
        <v>0</v>
      </c>
      <c r="G175" s="21" t="b">
        <f>A175='2013 BM Detail'!A209</f>
        <v>1</v>
      </c>
    </row>
    <row r="176" spans="1:7" ht="12.75">
      <c r="A176" s="3" t="s">
        <v>183</v>
      </c>
      <c r="B176" s="11">
        <v>930</v>
      </c>
      <c r="C176" s="65">
        <v>0</v>
      </c>
      <c r="G176" s="21" t="b">
        <f>A176='2013 BM Detail'!A210</f>
        <v>1</v>
      </c>
    </row>
    <row r="177" spans="1:7" ht="12.75">
      <c r="A177" s="3" t="s">
        <v>184</v>
      </c>
      <c r="B177" s="11">
        <v>931</v>
      </c>
      <c r="C177" s="65">
        <v>9261281.63</v>
      </c>
      <c r="G177" s="21" t="b">
        <f>A177='2013 BM Detail'!A211</f>
        <v>1</v>
      </c>
    </row>
    <row r="178" spans="1:7" ht="12.75">
      <c r="A178" s="3" t="s">
        <v>185</v>
      </c>
      <c r="B178" s="11">
        <v>931</v>
      </c>
      <c r="C178" s="65">
        <v>0</v>
      </c>
      <c r="G178" s="21" t="b">
        <f>A178='2013 BM Detail'!A212</f>
        <v>1</v>
      </c>
    </row>
    <row r="179" spans="1:7" ht="12.75">
      <c r="A179" s="3" t="s">
        <v>186</v>
      </c>
      <c r="B179" s="11">
        <v>935</v>
      </c>
      <c r="C179" s="65">
        <v>10924837.22</v>
      </c>
      <c r="G179" s="21" t="b">
        <f>A179='2013 BM Detail'!A213</f>
        <v>1</v>
      </c>
    </row>
    <row r="180" spans="1:7" ht="12.75">
      <c r="A180" s="3" t="s">
        <v>356</v>
      </c>
      <c r="B180" s="11">
        <v>935</v>
      </c>
      <c r="C180" s="65">
        <v>0</v>
      </c>
      <c r="D180" s="67">
        <f>SUM(C140:C180)</f>
        <v>434020121.65000004</v>
      </c>
      <c r="E180" s="21">
        <f>'2013 BM Detail'!C215</f>
        <v>434020121.65000004</v>
      </c>
      <c r="F180" s="67" t="b">
        <f>D180=E180</f>
        <v>1</v>
      </c>
      <c r="G180" s="21" t="b">
        <f>A180='2013 BM Detail'!A214</f>
        <v>1</v>
      </c>
    </row>
    <row r="181" spans="1:3" ht="12.75">
      <c r="A181" s="3"/>
      <c r="B181" s="11"/>
      <c r="C181" s="65"/>
    </row>
    <row r="182" ht="12.75">
      <c r="C182" s="66">
        <f>SUM(C5:C181)</f>
        <v>6191209476.139999</v>
      </c>
    </row>
    <row r="183" spans="1:3" ht="12.75">
      <c r="A183" s="3" t="s">
        <v>358</v>
      </c>
      <c r="C183">
        <f>'2013 BM Detail'!C217</f>
        <v>6191209476.139999</v>
      </c>
    </row>
    <row r="184" spans="1:3" ht="12.75">
      <c r="A184" s="3" t="s">
        <v>357</v>
      </c>
      <c r="C184" s="66">
        <f>C182-C183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7"/>
  <sheetViews>
    <sheetView showGridLines="0" zoomScalePageLayoutView="0" workbookViewId="0" topLeftCell="A1">
      <selection activeCell="A2" sqref="A1:A2"/>
    </sheetView>
  </sheetViews>
  <sheetFormatPr defaultColWidth="9.140625" defaultRowHeight="12.75"/>
  <cols>
    <col min="1" max="1" width="10.7109375" style="0" customWidth="1"/>
    <col min="2" max="2" width="93.8515625" style="204" customWidth="1"/>
    <col min="3" max="3" width="44.00390625" style="204" customWidth="1"/>
    <col min="4" max="4" width="15.00390625" style="0" customWidth="1"/>
    <col min="8" max="8" width="95.140625" style="0" bestFit="1" customWidth="1"/>
  </cols>
  <sheetData>
    <row r="1" ht="15">
      <c r="A1" s="268" t="s">
        <v>1125</v>
      </c>
    </row>
    <row r="2" ht="15">
      <c r="A2" s="268" t="s">
        <v>1116</v>
      </c>
    </row>
    <row r="3" ht="13.5" thickBot="1"/>
    <row r="4" spans="2:4" ht="13.5" thickBot="1">
      <c r="B4" s="266" t="s">
        <v>535</v>
      </c>
      <c r="C4" s="265" t="s">
        <v>741</v>
      </c>
      <c r="D4" s="259">
        <v>43465</v>
      </c>
    </row>
    <row r="5" spans="2:4" ht="13.5" thickBot="1">
      <c r="B5" s="266"/>
      <c r="C5" s="265"/>
      <c r="D5" s="193" t="s">
        <v>537</v>
      </c>
    </row>
    <row r="6" spans="2:8" ht="12.75">
      <c r="B6" s="242" t="s">
        <v>538</v>
      </c>
      <c r="C6" s="241"/>
      <c r="D6" s="241"/>
      <c r="G6" t="b">
        <f aca="true" t="shared" si="0" ref="G6:G69">H6=B6</f>
        <v>1</v>
      </c>
      <c r="H6" s="252" t="s">
        <v>538</v>
      </c>
    </row>
    <row r="7" spans="2:8" ht="12.75">
      <c r="B7" s="243" t="s">
        <v>539</v>
      </c>
      <c r="C7" s="241"/>
      <c r="D7" s="241"/>
      <c r="G7" t="b">
        <f t="shared" si="0"/>
        <v>1</v>
      </c>
      <c r="H7" s="253" t="s">
        <v>539</v>
      </c>
    </row>
    <row r="8" spans="1:8" ht="12.75">
      <c r="A8" t="str">
        <f>LEFT(B8,9)</f>
        <v>INC100000</v>
      </c>
      <c r="B8" s="244" t="s">
        <v>540</v>
      </c>
      <c r="C8" s="241" t="s">
        <v>743</v>
      </c>
      <c r="D8" s="248">
        <v>5164888.419999998</v>
      </c>
      <c r="F8" t="str">
        <f aca="true" t="shared" si="1" ref="F8:F39">LEFT(C8,3)</f>
        <v>500</v>
      </c>
      <c r="G8" t="b">
        <f t="shared" si="0"/>
        <v>1</v>
      </c>
      <c r="H8" s="254" t="s">
        <v>540</v>
      </c>
    </row>
    <row r="9" spans="1:8" ht="12.75">
      <c r="A9" t="str">
        <f aca="true" t="shared" si="2" ref="A9:A72">LEFT(B9,9)</f>
        <v>INC101110</v>
      </c>
      <c r="B9" s="244" t="s">
        <v>541</v>
      </c>
      <c r="C9" s="241" t="s">
        <v>744</v>
      </c>
      <c r="D9" s="248">
        <v>365144534.71000004</v>
      </c>
      <c r="F9" t="str">
        <f t="shared" si="1"/>
        <v>501</v>
      </c>
      <c r="G9" t="b">
        <f t="shared" si="0"/>
        <v>1</v>
      </c>
      <c r="H9" s="254" t="s">
        <v>541</v>
      </c>
    </row>
    <row r="10" spans="1:8" ht="12.75">
      <c r="A10" t="str">
        <f t="shared" si="2"/>
        <v>INC101210</v>
      </c>
      <c r="B10" s="244" t="s">
        <v>542</v>
      </c>
      <c r="C10" s="241" t="s">
        <v>744</v>
      </c>
      <c r="D10" s="248">
        <v>9338423.959999997</v>
      </c>
      <c r="F10" t="str">
        <f t="shared" si="1"/>
        <v>501</v>
      </c>
      <c r="G10" t="b">
        <f t="shared" si="0"/>
        <v>1</v>
      </c>
      <c r="H10" s="254" t="s">
        <v>542</v>
      </c>
    </row>
    <row r="11" spans="1:8" ht="12.75">
      <c r="A11" t="str">
        <f t="shared" si="2"/>
        <v>INC102000</v>
      </c>
      <c r="B11" s="244" t="s">
        <v>543</v>
      </c>
      <c r="C11" s="241" t="s">
        <v>745</v>
      </c>
      <c r="D11" s="248">
        <v>4947119.640000001</v>
      </c>
      <c r="F11" t="str">
        <f t="shared" si="1"/>
        <v>502</v>
      </c>
      <c r="G11" t="b">
        <f t="shared" si="0"/>
        <v>1</v>
      </c>
      <c r="H11" s="254" t="s">
        <v>543</v>
      </c>
    </row>
    <row r="12" spans="1:8" ht="12.75">
      <c r="A12" t="str">
        <f t="shared" si="2"/>
        <v>INC105000</v>
      </c>
      <c r="B12" s="244" t="s">
        <v>544</v>
      </c>
      <c r="C12" s="241" t="s">
        <v>746</v>
      </c>
      <c r="D12" s="248">
        <v>1734288.8199999996</v>
      </c>
      <c r="F12" t="str">
        <f t="shared" si="1"/>
        <v>505</v>
      </c>
      <c r="G12" t="b">
        <f t="shared" si="0"/>
        <v>1</v>
      </c>
      <c r="H12" s="254" t="s">
        <v>544</v>
      </c>
    </row>
    <row r="13" spans="1:8" ht="12.75">
      <c r="A13" t="str">
        <f t="shared" si="2"/>
        <v>INC106000</v>
      </c>
      <c r="B13" s="244" t="s">
        <v>545</v>
      </c>
      <c r="C13" s="241" t="s">
        <v>747</v>
      </c>
      <c r="D13" s="248">
        <v>16556614.29</v>
      </c>
      <c r="F13" t="str">
        <f t="shared" si="1"/>
        <v>506</v>
      </c>
      <c r="G13" t="b">
        <f t="shared" si="0"/>
        <v>1</v>
      </c>
      <c r="H13" s="254" t="s">
        <v>545</v>
      </c>
    </row>
    <row r="14" spans="1:8" ht="12.75">
      <c r="A14" t="str">
        <f t="shared" si="2"/>
        <v>INC106100</v>
      </c>
      <c r="B14" s="244" t="s">
        <v>546</v>
      </c>
      <c r="C14" s="241" t="s">
        <v>747</v>
      </c>
      <c r="D14" s="248">
        <v>4358730.47</v>
      </c>
      <c r="F14" t="str">
        <f t="shared" si="1"/>
        <v>506</v>
      </c>
      <c r="G14" t="b">
        <f t="shared" si="0"/>
        <v>1</v>
      </c>
      <c r="H14" s="254" t="s">
        <v>546</v>
      </c>
    </row>
    <row r="15" spans="1:8" ht="12.75">
      <c r="A15" t="str">
        <f t="shared" si="2"/>
        <v>INC106310</v>
      </c>
      <c r="B15" s="244" t="s">
        <v>547</v>
      </c>
      <c r="C15" s="241" t="s">
        <v>747</v>
      </c>
      <c r="D15" s="248">
        <v>477955.6999999999</v>
      </c>
      <c r="F15" t="str">
        <f t="shared" si="1"/>
        <v>506</v>
      </c>
      <c r="G15" t="b">
        <f t="shared" si="0"/>
        <v>1</v>
      </c>
      <c r="H15" s="254" t="s">
        <v>547</v>
      </c>
    </row>
    <row r="16" spans="1:8" ht="12.75">
      <c r="A16" t="str">
        <f t="shared" si="2"/>
        <v>INC107000</v>
      </c>
      <c r="B16" s="244" t="s">
        <v>548</v>
      </c>
      <c r="C16" s="241" t="s">
        <v>748</v>
      </c>
      <c r="D16" s="248">
        <v>66795.90999999999</v>
      </c>
      <c r="F16" t="str">
        <f t="shared" si="1"/>
        <v>507</v>
      </c>
      <c r="G16" t="b">
        <f t="shared" si="0"/>
        <v>1</v>
      </c>
      <c r="H16" s="254" t="s">
        <v>548</v>
      </c>
    </row>
    <row r="17" spans="1:8" ht="12.75">
      <c r="A17" t="str">
        <f t="shared" si="2"/>
        <v>INC110000</v>
      </c>
      <c r="B17" s="244" t="s">
        <v>549</v>
      </c>
      <c r="C17" s="241" t="s">
        <v>749</v>
      </c>
      <c r="D17" s="248">
        <v>5763026.080000002</v>
      </c>
      <c r="F17" t="str">
        <f t="shared" si="1"/>
        <v>511</v>
      </c>
      <c r="G17" t="b">
        <f t="shared" si="0"/>
        <v>1</v>
      </c>
      <c r="H17" s="254" t="s">
        <v>549</v>
      </c>
    </row>
    <row r="18" spans="1:8" ht="12.75">
      <c r="A18" t="str">
        <f t="shared" si="2"/>
        <v>INC111000</v>
      </c>
      <c r="B18" s="244" t="s">
        <v>550</v>
      </c>
      <c r="C18" s="241" t="s">
        <v>749</v>
      </c>
      <c r="D18" s="248">
        <v>8056035.85</v>
      </c>
      <c r="F18" t="str">
        <f t="shared" si="1"/>
        <v>511</v>
      </c>
      <c r="G18" t="b">
        <f t="shared" si="0"/>
        <v>1</v>
      </c>
      <c r="H18" s="254" t="s">
        <v>550</v>
      </c>
    </row>
    <row r="19" spans="1:8" ht="12.75">
      <c r="A19" t="str">
        <f t="shared" si="2"/>
        <v>INC111100</v>
      </c>
      <c r="B19" s="244" t="s">
        <v>551</v>
      </c>
      <c r="C19" s="241" t="s">
        <v>749</v>
      </c>
      <c r="D19" s="248">
        <v>1613457.96</v>
      </c>
      <c r="F19" t="str">
        <f t="shared" si="1"/>
        <v>511</v>
      </c>
      <c r="G19" t="b">
        <f t="shared" si="0"/>
        <v>1</v>
      </c>
      <c r="H19" s="254" t="s">
        <v>551</v>
      </c>
    </row>
    <row r="20" spans="1:8" ht="12.75">
      <c r="A20" t="str">
        <f t="shared" si="2"/>
        <v>INC112000</v>
      </c>
      <c r="B20" s="244" t="s">
        <v>552</v>
      </c>
      <c r="C20" s="241" t="s">
        <v>750</v>
      </c>
      <c r="D20" s="248">
        <v>32594455.99000001</v>
      </c>
      <c r="F20" t="str">
        <f t="shared" si="1"/>
        <v>512</v>
      </c>
      <c r="G20" t="b">
        <f t="shared" si="0"/>
        <v>1</v>
      </c>
      <c r="H20" s="254" t="s">
        <v>552</v>
      </c>
    </row>
    <row r="21" spans="1:8" ht="12.75">
      <c r="A21" t="str">
        <f t="shared" si="2"/>
        <v>INC112100</v>
      </c>
      <c r="B21" s="244" t="s">
        <v>553</v>
      </c>
      <c r="C21" s="241" t="s">
        <v>750</v>
      </c>
      <c r="D21" s="248">
        <v>8904201.059999999</v>
      </c>
      <c r="F21" t="str">
        <f t="shared" si="1"/>
        <v>512</v>
      </c>
      <c r="G21" t="b">
        <f t="shared" si="0"/>
        <v>1</v>
      </c>
      <c r="H21" s="254" t="s">
        <v>553</v>
      </c>
    </row>
    <row r="22" spans="1:8" ht="12.75">
      <c r="A22" t="str">
        <f t="shared" si="2"/>
        <v>INC113000</v>
      </c>
      <c r="B22" s="244" t="s">
        <v>554</v>
      </c>
      <c r="C22" s="241" t="s">
        <v>751</v>
      </c>
      <c r="D22" s="248">
        <v>6246708.290000004</v>
      </c>
      <c r="F22" t="str">
        <f t="shared" si="1"/>
        <v>513</v>
      </c>
      <c r="G22" t="b">
        <f t="shared" si="0"/>
        <v>1</v>
      </c>
      <c r="H22" s="254" t="s">
        <v>554</v>
      </c>
    </row>
    <row r="23" spans="1:8" ht="12.75">
      <c r="A23" t="str">
        <f t="shared" si="2"/>
        <v>INC113100</v>
      </c>
      <c r="B23" s="244" t="s">
        <v>555</v>
      </c>
      <c r="C23" s="241" t="s">
        <v>751</v>
      </c>
      <c r="D23" s="248">
        <v>5000</v>
      </c>
      <c r="F23" t="str">
        <f t="shared" si="1"/>
        <v>513</v>
      </c>
      <c r="G23" t="b">
        <f t="shared" si="0"/>
        <v>1</v>
      </c>
      <c r="H23" s="254" t="s">
        <v>555</v>
      </c>
    </row>
    <row r="24" spans="1:8" ht="12.75">
      <c r="A24" t="str">
        <f t="shared" si="2"/>
        <v>INC114000</v>
      </c>
      <c r="B24" s="244" t="s">
        <v>556</v>
      </c>
      <c r="C24" s="241" t="s">
        <v>752</v>
      </c>
      <c r="D24" s="248">
        <v>1890604.6199999996</v>
      </c>
      <c r="F24" t="str">
        <f t="shared" si="1"/>
        <v>514</v>
      </c>
      <c r="G24" t="b">
        <f t="shared" si="0"/>
        <v>1</v>
      </c>
      <c r="H24" s="254" t="s">
        <v>556</v>
      </c>
    </row>
    <row r="25" spans="1:8" ht="13.5" thickBot="1">
      <c r="A25" t="str">
        <f t="shared" si="2"/>
        <v>INC114100</v>
      </c>
      <c r="B25" s="244" t="s">
        <v>557</v>
      </c>
      <c r="C25" s="241" t="s">
        <v>752</v>
      </c>
      <c r="D25" s="248">
        <v>70831.44</v>
      </c>
      <c r="F25" t="str">
        <f t="shared" si="1"/>
        <v>514</v>
      </c>
      <c r="G25" t="b">
        <f t="shared" si="0"/>
        <v>1</v>
      </c>
      <c r="H25" s="254" t="s">
        <v>557</v>
      </c>
    </row>
    <row r="26" spans="1:8" ht="12.75">
      <c r="A26" t="str">
        <f t="shared" si="2"/>
        <v>STEAM POW</v>
      </c>
      <c r="B26" s="243" t="s">
        <v>539</v>
      </c>
      <c r="C26" s="245" t="s">
        <v>742</v>
      </c>
      <c r="D26" s="255">
        <v>472933673.2100001</v>
      </c>
      <c r="F26">
        <f t="shared" si="1"/>
      </c>
      <c r="G26" t="b">
        <f t="shared" si="0"/>
        <v>1</v>
      </c>
      <c r="H26" s="253" t="s">
        <v>539</v>
      </c>
    </row>
    <row r="27" spans="1:7" ht="12.75">
      <c r="A27">
        <f t="shared" si="2"/>
      </c>
      <c r="B27"/>
      <c r="C27" s="240"/>
      <c r="F27">
        <f t="shared" si="1"/>
      </c>
      <c r="G27" t="b">
        <f t="shared" si="0"/>
        <v>1</v>
      </c>
    </row>
    <row r="28" spans="1:8" ht="12.75">
      <c r="A28" t="str">
        <f t="shared" si="2"/>
        <v>NUCLEAR P</v>
      </c>
      <c r="B28" s="243" t="s">
        <v>558</v>
      </c>
      <c r="C28" s="241"/>
      <c r="D28" s="248"/>
      <c r="F28">
        <f t="shared" si="1"/>
      </c>
      <c r="G28" t="b">
        <f t="shared" si="0"/>
        <v>1</v>
      </c>
      <c r="H28" s="253" t="s">
        <v>558</v>
      </c>
    </row>
    <row r="29" spans="1:8" ht="12.75">
      <c r="A29" t="str">
        <f t="shared" si="2"/>
        <v>INC117000</v>
      </c>
      <c r="B29" s="244" t="s">
        <v>559</v>
      </c>
      <c r="C29" s="241" t="s">
        <v>753</v>
      </c>
      <c r="D29" s="248">
        <v>81567988.36999999</v>
      </c>
      <c r="F29" t="str">
        <f t="shared" si="1"/>
        <v>517</v>
      </c>
      <c r="G29" t="b">
        <f t="shared" si="0"/>
        <v>1</v>
      </c>
      <c r="H29" s="254" t="s">
        <v>559</v>
      </c>
    </row>
    <row r="30" spans="1:8" ht="12.75">
      <c r="A30" t="str">
        <f t="shared" si="2"/>
        <v>INC118110</v>
      </c>
      <c r="B30" s="244" t="s">
        <v>560</v>
      </c>
      <c r="C30" s="241" t="s">
        <v>754</v>
      </c>
      <c r="D30" s="248">
        <v>181948456.3937351</v>
      </c>
      <c r="F30" t="str">
        <f t="shared" si="1"/>
        <v>518</v>
      </c>
      <c r="G30" t="b">
        <f t="shared" si="0"/>
        <v>1</v>
      </c>
      <c r="H30" s="254" t="s">
        <v>560</v>
      </c>
    </row>
    <row r="31" spans="1:8" ht="12.75">
      <c r="A31" t="str">
        <f t="shared" si="2"/>
        <v>INC118151</v>
      </c>
      <c r="B31" s="244" t="s">
        <v>561</v>
      </c>
      <c r="C31" s="241" t="s">
        <v>754</v>
      </c>
      <c r="D31" s="248">
        <v>0</v>
      </c>
      <c r="F31" t="str">
        <f t="shared" si="1"/>
        <v>518</v>
      </c>
      <c r="G31" t="b">
        <f t="shared" si="0"/>
        <v>1</v>
      </c>
      <c r="H31" s="254" t="s">
        <v>561</v>
      </c>
    </row>
    <row r="32" spans="1:8" ht="12.75">
      <c r="A32" t="str">
        <f t="shared" si="2"/>
        <v>INC118160</v>
      </c>
      <c r="B32" s="244" t="s">
        <v>562</v>
      </c>
      <c r="C32" s="241" t="s">
        <v>754</v>
      </c>
      <c r="D32" s="248">
        <v>32358752.15</v>
      </c>
      <c r="F32" t="str">
        <f t="shared" si="1"/>
        <v>518</v>
      </c>
      <c r="G32" t="b">
        <f t="shared" si="0"/>
        <v>1</v>
      </c>
      <c r="H32" s="254" t="s">
        <v>562</v>
      </c>
    </row>
    <row r="33" spans="1:8" ht="12.75">
      <c r="A33" t="str">
        <f t="shared" si="2"/>
        <v>INC118180</v>
      </c>
      <c r="B33" s="244" t="s">
        <v>563</v>
      </c>
      <c r="C33" s="241" t="s">
        <v>754</v>
      </c>
      <c r="D33" s="248">
        <v>0</v>
      </c>
      <c r="F33" t="str">
        <f t="shared" si="1"/>
        <v>518</v>
      </c>
      <c r="G33" t="b">
        <f t="shared" si="0"/>
        <v>1</v>
      </c>
      <c r="H33" s="254" t="s">
        <v>563</v>
      </c>
    </row>
    <row r="34" spans="1:8" ht="12.75">
      <c r="A34" t="str">
        <f t="shared" si="2"/>
        <v>INC118210</v>
      </c>
      <c r="B34" s="244" t="s">
        <v>564</v>
      </c>
      <c r="C34" s="241" t="s">
        <v>754</v>
      </c>
      <c r="D34" s="248">
        <v>11753694.840000002</v>
      </c>
      <c r="F34" t="str">
        <f t="shared" si="1"/>
        <v>518</v>
      </c>
      <c r="G34" t="b">
        <f t="shared" si="0"/>
        <v>1</v>
      </c>
      <c r="H34" s="254" t="s">
        <v>564</v>
      </c>
    </row>
    <row r="35" spans="1:8" ht="12.75">
      <c r="A35" t="str">
        <f t="shared" si="2"/>
        <v>INC119000</v>
      </c>
      <c r="B35" s="244" t="s">
        <v>565</v>
      </c>
      <c r="C35" s="241" t="s">
        <v>755</v>
      </c>
      <c r="D35" s="248">
        <v>10678965.18</v>
      </c>
      <c r="F35" t="str">
        <f t="shared" si="1"/>
        <v>519</v>
      </c>
      <c r="G35" t="b">
        <f t="shared" si="0"/>
        <v>1</v>
      </c>
      <c r="H35" s="254" t="s">
        <v>565</v>
      </c>
    </row>
    <row r="36" spans="1:8" ht="12.75">
      <c r="A36" t="str">
        <f t="shared" si="2"/>
        <v>INC120000</v>
      </c>
      <c r="B36" s="244" t="s">
        <v>566</v>
      </c>
      <c r="C36" s="241" t="s">
        <v>756</v>
      </c>
      <c r="D36" s="248">
        <v>49802962.17999999</v>
      </c>
      <c r="F36" t="str">
        <f t="shared" si="1"/>
        <v>520</v>
      </c>
      <c r="G36" t="b">
        <f t="shared" si="0"/>
        <v>1</v>
      </c>
      <c r="H36" s="254" t="s">
        <v>566</v>
      </c>
    </row>
    <row r="37" spans="1:8" ht="12.75">
      <c r="A37" t="str">
        <f t="shared" si="2"/>
        <v>INC123000</v>
      </c>
      <c r="B37" s="244" t="s">
        <v>567</v>
      </c>
      <c r="C37" s="241" t="s">
        <v>757</v>
      </c>
      <c r="D37" s="248">
        <v>243864.36999999997</v>
      </c>
      <c r="F37" t="str">
        <f t="shared" si="1"/>
        <v>523</v>
      </c>
      <c r="G37" t="b">
        <f t="shared" si="0"/>
        <v>1</v>
      </c>
      <c r="H37" s="254" t="s">
        <v>567</v>
      </c>
    </row>
    <row r="38" spans="1:8" ht="12.75">
      <c r="A38" t="str">
        <f t="shared" si="2"/>
        <v>INC124000</v>
      </c>
      <c r="B38" s="244" t="s">
        <v>568</v>
      </c>
      <c r="C38" s="241" t="s">
        <v>758</v>
      </c>
      <c r="D38" s="248">
        <v>83646833.15</v>
      </c>
      <c r="F38" t="str">
        <f t="shared" si="1"/>
        <v>524</v>
      </c>
      <c r="G38" t="b">
        <f t="shared" si="0"/>
        <v>1</v>
      </c>
      <c r="H38" s="254" t="s">
        <v>568</v>
      </c>
    </row>
    <row r="39" spans="1:8" ht="12.75">
      <c r="A39" t="str">
        <f t="shared" si="2"/>
        <v>INC124100</v>
      </c>
      <c r="B39" s="244" t="s">
        <v>569</v>
      </c>
      <c r="C39" s="241" t="s">
        <v>758</v>
      </c>
      <c r="D39" s="248">
        <v>72873.72</v>
      </c>
      <c r="F39" t="str">
        <f t="shared" si="1"/>
        <v>524</v>
      </c>
      <c r="G39" t="b">
        <f t="shared" si="0"/>
        <v>1</v>
      </c>
      <c r="H39" s="254" t="s">
        <v>569</v>
      </c>
    </row>
    <row r="40" spans="1:8" ht="12.75">
      <c r="A40" t="str">
        <f t="shared" si="2"/>
        <v>INC124500</v>
      </c>
      <c r="B40" s="244" t="s">
        <v>570</v>
      </c>
      <c r="C40" s="241" t="s">
        <v>758</v>
      </c>
      <c r="D40" s="248">
        <v>0</v>
      </c>
      <c r="F40" t="str">
        <f aca="true" t="shared" si="3" ref="F40:F71">LEFT(C40,3)</f>
        <v>524</v>
      </c>
      <c r="G40" t="b">
        <f t="shared" si="0"/>
        <v>1</v>
      </c>
      <c r="H40" s="254" t="s">
        <v>570</v>
      </c>
    </row>
    <row r="41" spans="1:8" ht="12.75">
      <c r="A41" t="str">
        <f t="shared" si="2"/>
        <v>INC124502</v>
      </c>
      <c r="B41" s="244" t="s">
        <v>571</v>
      </c>
      <c r="C41" s="241" t="s">
        <v>758</v>
      </c>
      <c r="D41" s="248">
        <v>0</v>
      </c>
      <c r="F41" t="str">
        <f t="shared" si="3"/>
        <v>524</v>
      </c>
      <c r="G41" t="b">
        <f t="shared" si="0"/>
        <v>1</v>
      </c>
      <c r="H41" s="254" t="s">
        <v>571</v>
      </c>
    </row>
    <row r="42" spans="1:8" ht="12.75">
      <c r="A42" t="str">
        <f t="shared" si="2"/>
        <v>INC125000</v>
      </c>
      <c r="B42" s="244" t="s">
        <v>572</v>
      </c>
      <c r="C42" s="241" t="s">
        <v>759</v>
      </c>
      <c r="D42" s="248">
        <v>0</v>
      </c>
      <c r="F42" t="str">
        <f t="shared" si="3"/>
        <v>525</v>
      </c>
      <c r="G42" t="b">
        <f t="shared" si="0"/>
        <v>1</v>
      </c>
      <c r="H42" s="254" t="s">
        <v>572</v>
      </c>
    </row>
    <row r="43" spans="1:8" ht="12.75">
      <c r="A43" t="str">
        <f t="shared" si="2"/>
        <v>INC128000</v>
      </c>
      <c r="B43" s="244" t="s">
        <v>573</v>
      </c>
      <c r="C43" s="241" t="s">
        <v>760</v>
      </c>
      <c r="D43" s="248">
        <v>91165449.9</v>
      </c>
      <c r="F43" t="str">
        <f t="shared" si="3"/>
        <v>528</v>
      </c>
      <c r="G43" t="b">
        <f t="shared" si="0"/>
        <v>1</v>
      </c>
      <c r="H43" s="254" t="s">
        <v>573</v>
      </c>
    </row>
    <row r="44" spans="1:8" ht="12.75">
      <c r="A44" t="str">
        <f t="shared" si="2"/>
        <v>INC129000</v>
      </c>
      <c r="B44" s="244" t="s">
        <v>574</v>
      </c>
      <c r="C44" s="241" t="s">
        <v>761</v>
      </c>
      <c r="D44" s="248">
        <v>11232051.85</v>
      </c>
      <c r="F44" t="str">
        <f t="shared" si="3"/>
        <v>529</v>
      </c>
      <c r="G44" t="b">
        <f t="shared" si="0"/>
        <v>1</v>
      </c>
      <c r="H44" s="254" t="s">
        <v>574</v>
      </c>
    </row>
    <row r="45" spans="1:8" ht="12.75">
      <c r="A45" t="str">
        <f t="shared" si="2"/>
        <v>INC129100</v>
      </c>
      <c r="B45" s="244" t="s">
        <v>575</v>
      </c>
      <c r="C45" s="241" t="s">
        <v>761</v>
      </c>
      <c r="D45" s="248">
        <v>610000</v>
      </c>
      <c r="F45" t="str">
        <f t="shared" si="3"/>
        <v>529</v>
      </c>
      <c r="G45" t="b">
        <f t="shared" si="0"/>
        <v>1</v>
      </c>
      <c r="H45" s="254" t="s">
        <v>575</v>
      </c>
    </row>
    <row r="46" spans="1:8" ht="12.75">
      <c r="A46" t="str">
        <f t="shared" si="2"/>
        <v>INC129900</v>
      </c>
      <c r="B46" s="244" t="s">
        <v>576</v>
      </c>
      <c r="C46" s="241" t="s">
        <v>761</v>
      </c>
      <c r="D46" s="248">
        <v>0</v>
      </c>
      <c r="F46" t="str">
        <f t="shared" si="3"/>
        <v>529</v>
      </c>
      <c r="G46" t="b">
        <f t="shared" si="0"/>
        <v>1</v>
      </c>
      <c r="H46" s="254" t="s">
        <v>576</v>
      </c>
    </row>
    <row r="47" spans="1:8" ht="12.75">
      <c r="A47" t="str">
        <f t="shared" si="2"/>
        <v>INC130000</v>
      </c>
      <c r="B47" s="244" t="s">
        <v>577</v>
      </c>
      <c r="C47" s="241" t="s">
        <v>762</v>
      </c>
      <c r="D47" s="248">
        <v>17146986.82</v>
      </c>
      <c r="F47" t="str">
        <f t="shared" si="3"/>
        <v>530</v>
      </c>
      <c r="G47" t="b">
        <f t="shared" si="0"/>
        <v>1</v>
      </c>
      <c r="H47" s="254" t="s">
        <v>577</v>
      </c>
    </row>
    <row r="48" spans="1:8" ht="12.75">
      <c r="A48" t="str">
        <f t="shared" si="2"/>
        <v>INC131000</v>
      </c>
      <c r="B48" s="244" t="s">
        <v>578</v>
      </c>
      <c r="C48" s="241" t="s">
        <v>763</v>
      </c>
      <c r="D48" s="248">
        <v>12880892.829999998</v>
      </c>
      <c r="F48" t="str">
        <f t="shared" si="3"/>
        <v>531</v>
      </c>
      <c r="G48" t="b">
        <f t="shared" si="0"/>
        <v>1</v>
      </c>
      <c r="H48" s="254" t="s">
        <v>578</v>
      </c>
    </row>
    <row r="49" spans="1:8" ht="12.75">
      <c r="A49" t="str">
        <f t="shared" si="2"/>
        <v>INC131005</v>
      </c>
      <c r="B49" s="244" t="s">
        <v>579</v>
      </c>
      <c r="C49" s="241" t="s">
        <v>763</v>
      </c>
      <c r="D49" s="248">
        <v>0</v>
      </c>
      <c r="F49" t="str">
        <f t="shared" si="3"/>
        <v>531</v>
      </c>
      <c r="G49" t="b">
        <f t="shared" si="0"/>
        <v>1</v>
      </c>
      <c r="H49" s="254" t="s">
        <v>579</v>
      </c>
    </row>
    <row r="50" spans="1:8" ht="12.75">
      <c r="A50" t="str">
        <f t="shared" si="2"/>
        <v>INC132000</v>
      </c>
      <c r="B50" s="244" t="s">
        <v>580</v>
      </c>
      <c r="C50" s="241" t="s">
        <v>764</v>
      </c>
      <c r="D50" s="248">
        <v>21131209.12</v>
      </c>
      <c r="F50" t="str">
        <f t="shared" si="3"/>
        <v>532</v>
      </c>
      <c r="G50" t="b">
        <f t="shared" si="0"/>
        <v>1</v>
      </c>
      <c r="H50" s="254" t="s">
        <v>580</v>
      </c>
    </row>
    <row r="51" spans="1:8" ht="13.5" thickBot="1">
      <c r="A51" t="str">
        <f t="shared" si="2"/>
        <v>INC132100</v>
      </c>
      <c r="B51" s="244" t="s">
        <v>581</v>
      </c>
      <c r="C51" s="241" t="s">
        <v>764</v>
      </c>
      <c r="D51" s="248">
        <v>0</v>
      </c>
      <c r="F51" t="str">
        <f t="shared" si="3"/>
        <v>532</v>
      </c>
      <c r="G51" t="b">
        <f t="shared" si="0"/>
        <v>1</v>
      </c>
      <c r="H51" s="254" t="s">
        <v>581</v>
      </c>
    </row>
    <row r="52" spans="1:8" ht="12.75">
      <c r="A52" t="str">
        <f t="shared" si="2"/>
        <v>NUCLEAR P</v>
      </c>
      <c r="B52" s="243" t="s">
        <v>558</v>
      </c>
      <c r="C52" s="245" t="s">
        <v>742</v>
      </c>
      <c r="D52" s="255">
        <v>606240980.8737352</v>
      </c>
      <c r="F52">
        <f t="shared" si="3"/>
      </c>
      <c r="G52" t="b">
        <f t="shared" si="0"/>
        <v>1</v>
      </c>
      <c r="H52" s="253" t="s">
        <v>558</v>
      </c>
    </row>
    <row r="53" spans="1:7" ht="12.75">
      <c r="A53">
        <f t="shared" si="2"/>
      </c>
      <c r="B53"/>
      <c r="C53" s="240"/>
      <c r="F53">
        <f t="shared" si="3"/>
      </c>
      <c r="G53" t="b">
        <f t="shared" si="0"/>
        <v>1</v>
      </c>
    </row>
    <row r="54" spans="1:8" ht="12.75">
      <c r="A54" t="str">
        <f t="shared" si="2"/>
        <v>OTHER POW</v>
      </c>
      <c r="B54" s="243" t="s">
        <v>582</v>
      </c>
      <c r="C54" s="241"/>
      <c r="D54" s="248"/>
      <c r="F54">
        <f t="shared" si="3"/>
      </c>
      <c r="G54" t="b">
        <f t="shared" si="0"/>
        <v>1</v>
      </c>
      <c r="H54" s="253" t="s">
        <v>582</v>
      </c>
    </row>
    <row r="55" spans="1:8" ht="12.75">
      <c r="A55" t="str">
        <f t="shared" si="2"/>
        <v>INC146000</v>
      </c>
      <c r="B55" s="244" t="s">
        <v>583</v>
      </c>
      <c r="C55" s="241" t="s">
        <v>765</v>
      </c>
      <c r="D55" s="248">
        <v>16670758.119999997</v>
      </c>
      <c r="F55" t="str">
        <f t="shared" si="3"/>
        <v>546</v>
      </c>
      <c r="G55" t="b">
        <f t="shared" si="0"/>
        <v>1</v>
      </c>
      <c r="H55" s="254" t="s">
        <v>583</v>
      </c>
    </row>
    <row r="56" spans="1:8" ht="12.75">
      <c r="A56" t="str">
        <f t="shared" si="2"/>
        <v>INC146100</v>
      </c>
      <c r="B56" s="244" t="s">
        <v>584</v>
      </c>
      <c r="C56" s="241" t="s">
        <v>766</v>
      </c>
      <c r="D56" s="248">
        <v>284036.0300000001</v>
      </c>
      <c r="F56" t="str">
        <f t="shared" si="3"/>
        <v>552</v>
      </c>
      <c r="G56" t="b">
        <f t="shared" si="0"/>
        <v>1</v>
      </c>
      <c r="H56" s="254" t="s">
        <v>584</v>
      </c>
    </row>
    <row r="57" spans="1:8" ht="12.75">
      <c r="A57" t="str">
        <f t="shared" si="2"/>
        <v>INC147110</v>
      </c>
      <c r="B57" s="244" t="s">
        <v>585</v>
      </c>
      <c r="C57" s="241" t="s">
        <v>767</v>
      </c>
      <c r="D57" s="248">
        <v>2470786768.429283</v>
      </c>
      <c r="F57" t="str">
        <f t="shared" si="3"/>
        <v>547</v>
      </c>
      <c r="G57" t="b">
        <f t="shared" si="0"/>
        <v>1</v>
      </c>
      <c r="H57" s="254" t="s">
        <v>585</v>
      </c>
    </row>
    <row r="58" spans="1:8" ht="12.75">
      <c r="A58" t="str">
        <f t="shared" si="2"/>
        <v>INC147200</v>
      </c>
      <c r="B58" s="244" t="s">
        <v>586</v>
      </c>
      <c r="C58" s="241" t="s">
        <v>767</v>
      </c>
      <c r="D58" s="248">
        <v>4482704.11</v>
      </c>
      <c r="F58" t="str">
        <f t="shared" si="3"/>
        <v>547</v>
      </c>
      <c r="G58" t="b">
        <f t="shared" si="0"/>
        <v>1</v>
      </c>
      <c r="H58" s="254" t="s">
        <v>586</v>
      </c>
    </row>
    <row r="59" spans="1:8" ht="12.75">
      <c r="A59" t="str">
        <f t="shared" si="2"/>
        <v>INC148000</v>
      </c>
      <c r="B59" s="244" t="s">
        <v>587</v>
      </c>
      <c r="C59" s="241" t="s">
        <v>768</v>
      </c>
      <c r="D59" s="248">
        <v>19641032.740000002</v>
      </c>
      <c r="F59" t="str">
        <f t="shared" si="3"/>
        <v>548</v>
      </c>
      <c r="G59" t="b">
        <f t="shared" si="0"/>
        <v>1</v>
      </c>
      <c r="H59" s="254" t="s">
        <v>587</v>
      </c>
    </row>
    <row r="60" spans="1:8" ht="12.75">
      <c r="A60" t="str">
        <f t="shared" si="2"/>
        <v>INC149000</v>
      </c>
      <c r="B60" s="244" t="s">
        <v>588</v>
      </c>
      <c r="C60" s="241" t="s">
        <v>769</v>
      </c>
      <c r="D60" s="248">
        <v>30608175.239999987</v>
      </c>
      <c r="F60" t="str">
        <f t="shared" si="3"/>
        <v>549</v>
      </c>
      <c r="G60" t="b">
        <f t="shared" si="0"/>
        <v>1</v>
      </c>
      <c r="H60" s="254" t="s">
        <v>588</v>
      </c>
    </row>
    <row r="61" spans="1:8" ht="12.75">
      <c r="A61" t="str">
        <f t="shared" si="2"/>
        <v>INC149100</v>
      </c>
      <c r="B61" s="244" t="s">
        <v>589</v>
      </c>
      <c r="C61" s="241" t="s">
        <v>769</v>
      </c>
      <c r="D61" s="248">
        <v>2036554.0400000005</v>
      </c>
      <c r="F61" t="str">
        <f t="shared" si="3"/>
        <v>549</v>
      </c>
      <c r="G61" t="b">
        <f t="shared" si="0"/>
        <v>1</v>
      </c>
      <c r="H61" s="254" t="s">
        <v>589</v>
      </c>
    </row>
    <row r="62" spans="1:8" ht="12.75">
      <c r="A62" t="str">
        <f t="shared" si="2"/>
        <v>INC149111</v>
      </c>
      <c r="B62" s="244" t="s">
        <v>590</v>
      </c>
      <c r="C62" s="241" t="s">
        <v>769</v>
      </c>
      <c r="D62" s="248">
        <v>4246490.000000001</v>
      </c>
      <c r="F62" t="str">
        <f t="shared" si="3"/>
        <v>549</v>
      </c>
      <c r="G62" t="b">
        <f t="shared" si="0"/>
        <v>1</v>
      </c>
      <c r="H62" s="254" t="s">
        <v>590</v>
      </c>
    </row>
    <row r="63" spans="1:8" ht="12.75">
      <c r="A63" t="str">
        <f t="shared" si="2"/>
        <v>INC149900</v>
      </c>
      <c r="B63" s="244" t="s">
        <v>591</v>
      </c>
      <c r="C63" s="241" t="s">
        <v>769</v>
      </c>
      <c r="D63" s="248">
        <v>1354250.8900000001</v>
      </c>
      <c r="F63" t="str">
        <f t="shared" si="3"/>
        <v>549</v>
      </c>
      <c r="G63" t="b">
        <f t="shared" si="0"/>
        <v>1</v>
      </c>
      <c r="H63" s="254" t="s">
        <v>591</v>
      </c>
    </row>
    <row r="64" spans="1:8" ht="12.75">
      <c r="A64" t="str">
        <f t="shared" si="2"/>
        <v>INC151000</v>
      </c>
      <c r="B64" s="244" t="s">
        <v>592</v>
      </c>
      <c r="C64" s="241" t="s">
        <v>770</v>
      </c>
      <c r="D64" s="248">
        <v>10700397.600000003</v>
      </c>
      <c r="F64" t="str">
        <f t="shared" si="3"/>
        <v>551</v>
      </c>
      <c r="G64" t="b">
        <f t="shared" si="0"/>
        <v>1</v>
      </c>
      <c r="H64" s="254" t="s">
        <v>592</v>
      </c>
    </row>
    <row r="65" spans="1:8" ht="12.75">
      <c r="A65" t="str">
        <f t="shared" si="2"/>
        <v>INC151100</v>
      </c>
      <c r="B65" s="244" t="s">
        <v>593</v>
      </c>
      <c r="C65" s="241" t="s">
        <v>766</v>
      </c>
      <c r="D65" s="248">
        <v>272937.72000000003</v>
      </c>
      <c r="F65" t="str">
        <f t="shared" si="3"/>
        <v>552</v>
      </c>
      <c r="G65" t="b">
        <f t="shared" si="0"/>
        <v>1</v>
      </c>
      <c r="H65" s="254" t="s">
        <v>593</v>
      </c>
    </row>
    <row r="66" spans="1:8" ht="12.75">
      <c r="A66" t="str">
        <f t="shared" si="2"/>
        <v>INC152000</v>
      </c>
      <c r="B66" s="244" t="s">
        <v>594</v>
      </c>
      <c r="C66" s="241" t="s">
        <v>766</v>
      </c>
      <c r="D66" s="248">
        <v>18169353.409999993</v>
      </c>
      <c r="F66" t="str">
        <f t="shared" si="3"/>
        <v>552</v>
      </c>
      <c r="G66" t="b">
        <f t="shared" si="0"/>
        <v>1</v>
      </c>
      <c r="H66" s="254" t="s">
        <v>594</v>
      </c>
    </row>
    <row r="67" spans="1:8" ht="12.75">
      <c r="A67" t="str">
        <f t="shared" si="2"/>
        <v>INC152100</v>
      </c>
      <c r="B67" s="244" t="s">
        <v>595</v>
      </c>
      <c r="C67" s="241" t="s">
        <v>766</v>
      </c>
      <c r="D67" s="248">
        <v>387171.16</v>
      </c>
      <c r="F67" t="str">
        <f t="shared" si="3"/>
        <v>552</v>
      </c>
      <c r="G67" t="b">
        <f t="shared" si="0"/>
        <v>1</v>
      </c>
      <c r="H67" s="254" t="s">
        <v>595</v>
      </c>
    </row>
    <row r="68" spans="1:8" ht="12.75">
      <c r="A68" t="str">
        <f t="shared" si="2"/>
        <v>INC153000</v>
      </c>
      <c r="B68" s="244" t="s">
        <v>596</v>
      </c>
      <c r="C68" s="241" t="s">
        <v>771</v>
      </c>
      <c r="D68" s="248">
        <v>51989554.59000002</v>
      </c>
      <c r="F68" t="str">
        <f t="shared" si="3"/>
        <v>553</v>
      </c>
      <c r="G68" t="b">
        <f t="shared" si="0"/>
        <v>1</v>
      </c>
      <c r="H68" s="254" t="s">
        <v>596</v>
      </c>
    </row>
    <row r="69" spans="1:8" ht="12.75">
      <c r="A69" t="str">
        <f t="shared" si="2"/>
        <v>INC153100</v>
      </c>
      <c r="B69" s="244" t="s">
        <v>597</v>
      </c>
      <c r="C69" s="241" t="s">
        <v>771</v>
      </c>
      <c r="D69" s="248">
        <v>4176758.130000001</v>
      </c>
      <c r="F69" t="str">
        <f t="shared" si="3"/>
        <v>553</v>
      </c>
      <c r="G69" t="b">
        <f t="shared" si="0"/>
        <v>1</v>
      </c>
      <c r="H69" s="254" t="s">
        <v>597</v>
      </c>
    </row>
    <row r="70" spans="1:8" ht="12.75">
      <c r="A70" t="str">
        <f t="shared" si="2"/>
        <v>INC154000</v>
      </c>
      <c r="B70" s="244" t="s">
        <v>598</v>
      </c>
      <c r="C70" s="241" t="s">
        <v>772</v>
      </c>
      <c r="D70" s="248">
        <v>6954363.88</v>
      </c>
      <c r="F70" t="str">
        <f t="shared" si="3"/>
        <v>554</v>
      </c>
      <c r="G70" t="b">
        <f aca="true" t="shared" si="4" ref="G70:G133">H70=B70</f>
        <v>1</v>
      </c>
      <c r="H70" s="254" t="s">
        <v>598</v>
      </c>
    </row>
    <row r="71" spans="1:8" ht="12.75">
      <c r="A71" t="str">
        <f t="shared" si="2"/>
        <v>INC154100</v>
      </c>
      <c r="B71" s="244" t="s">
        <v>599</v>
      </c>
      <c r="C71" s="241" t="s">
        <v>772</v>
      </c>
      <c r="D71" s="248">
        <v>35867.68</v>
      </c>
      <c r="F71" t="str">
        <f t="shared" si="3"/>
        <v>554</v>
      </c>
      <c r="G71" t="b">
        <f t="shared" si="4"/>
        <v>1</v>
      </c>
      <c r="H71" s="254" t="s">
        <v>599</v>
      </c>
    </row>
    <row r="72" spans="1:8" ht="12.75">
      <c r="A72" t="str">
        <f t="shared" si="2"/>
        <v>INC155110</v>
      </c>
      <c r="B72" s="244" t="s">
        <v>600</v>
      </c>
      <c r="C72" s="241" t="s">
        <v>773</v>
      </c>
      <c r="D72" s="248">
        <v>206926379.56</v>
      </c>
      <c r="F72" t="str">
        <f aca="true" t="shared" si="5" ref="F72:F103">LEFT(C72,3)</f>
        <v>555</v>
      </c>
      <c r="G72" t="b">
        <f t="shared" si="4"/>
        <v>1</v>
      </c>
      <c r="H72" s="254" t="s">
        <v>600</v>
      </c>
    </row>
    <row r="73" spans="1:8" ht="12.75">
      <c r="A73" t="str">
        <f aca="true" t="shared" si="6" ref="A73:A136">LEFT(B73,9)</f>
        <v>INC155111</v>
      </c>
      <c r="B73" s="244" t="s">
        <v>601</v>
      </c>
      <c r="C73" s="241" t="s">
        <v>773</v>
      </c>
      <c r="D73" s="248">
        <v>0</v>
      </c>
      <c r="F73" t="str">
        <f t="shared" si="5"/>
        <v>555</v>
      </c>
      <c r="G73" t="b">
        <f t="shared" si="4"/>
        <v>1</v>
      </c>
      <c r="H73" s="254" t="s">
        <v>601</v>
      </c>
    </row>
    <row r="74" spans="1:8" ht="12.75">
      <c r="A74" t="str">
        <f t="shared" si="6"/>
        <v>INC155112</v>
      </c>
      <c r="B74" s="244" t="s">
        <v>602</v>
      </c>
      <c r="C74" s="241" t="s">
        <v>773</v>
      </c>
      <c r="D74" s="248">
        <v>0</v>
      </c>
      <c r="F74" t="str">
        <f t="shared" si="5"/>
        <v>555</v>
      </c>
      <c r="G74" t="b">
        <f t="shared" si="4"/>
        <v>1</v>
      </c>
      <c r="H74" s="254" t="s">
        <v>602</v>
      </c>
    </row>
    <row r="75" spans="1:8" ht="12.75">
      <c r="A75" t="str">
        <f t="shared" si="6"/>
        <v>INC155410</v>
      </c>
      <c r="B75" s="244" t="s">
        <v>603</v>
      </c>
      <c r="C75" s="241" t="s">
        <v>773</v>
      </c>
      <c r="D75" s="248">
        <v>150878260.54999998</v>
      </c>
      <c r="F75" t="str">
        <f t="shared" si="5"/>
        <v>555</v>
      </c>
      <c r="G75" t="b">
        <f t="shared" si="4"/>
        <v>1</v>
      </c>
      <c r="H75" s="254" t="s">
        <v>603</v>
      </c>
    </row>
    <row r="76" spans="1:8" ht="12.75">
      <c r="A76" t="str">
        <f t="shared" si="6"/>
        <v>INC156000</v>
      </c>
      <c r="B76" s="244" t="s">
        <v>604</v>
      </c>
      <c r="C76" s="241" t="s">
        <v>774</v>
      </c>
      <c r="D76" s="248">
        <v>4089182.3200000008</v>
      </c>
      <c r="F76" t="str">
        <f t="shared" si="5"/>
        <v>556</v>
      </c>
      <c r="G76" t="b">
        <f t="shared" si="4"/>
        <v>1</v>
      </c>
      <c r="H76" s="254" t="s">
        <v>604</v>
      </c>
    </row>
    <row r="77" spans="1:8" ht="12.75">
      <c r="A77" t="str">
        <f t="shared" si="6"/>
        <v>INC157000</v>
      </c>
      <c r="B77" s="244" t="s">
        <v>605</v>
      </c>
      <c r="C77" s="241" t="s">
        <v>775</v>
      </c>
      <c r="D77" s="248">
        <v>2645055.0500000003</v>
      </c>
      <c r="F77" t="str">
        <f t="shared" si="5"/>
        <v>557</v>
      </c>
      <c r="G77" t="b">
        <f t="shared" si="4"/>
        <v>1</v>
      </c>
      <c r="H77" s="254" t="s">
        <v>605</v>
      </c>
    </row>
    <row r="78" spans="1:8" ht="12.75">
      <c r="A78" t="str">
        <f t="shared" si="6"/>
        <v>INC157900</v>
      </c>
      <c r="B78" s="244" t="s">
        <v>606</v>
      </c>
      <c r="C78" s="241" t="s">
        <v>775</v>
      </c>
      <c r="D78" s="248">
        <v>0</v>
      </c>
      <c r="F78" t="str">
        <f t="shared" si="5"/>
        <v>557</v>
      </c>
      <c r="G78" t="b">
        <f t="shared" si="4"/>
        <v>1</v>
      </c>
      <c r="H78" s="254" t="s">
        <v>606</v>
      </c>
    </row>
    <row r="79" spans="1:8" ht="12.75">
      <c r="A79" t="str">
        <f t="shared" si="6"/>
        <v>INC157903</v>
      </c>
      <c r="B79" s="244" t="s">
        <v>607</v>
      </c>
      <c r="C79" s="241" t="s">
        <v>775</v>
      </c>
      <c r="D79" s="248">
        <v>90031969.60714287</v>
      </c>
      <c r="F79" t="str">
        <f t="shared" si="5"/>
        <v>557</v>
      </c>
      <c r="G79" t="b">
        <f t="shared" si="4"/>
        <v>1</v>
      </c>
      <c r="H79" s="254" t="s">
        <v>607</v>
      </c>
    </row>
    <row r="80" spans="1:8" ht="12.75">
      <c r="A80" t="str">
        <f t="shared" si="6"/>
        <v>INC157944</v>
      </c>
      <c r="B80" s="244" t="s">
        <v>608</v>
      </c>
      <c r="C80" s="241" t="s">
        <v>775</v>
      </c>
      <c r="D80" s="248">
        <v>0</v>
      </c>
      <c r="F80" t="str">
        <f t="shared" si="5"/>
        <v>557</v>
      </c>
      <c r="G80" t="b">
        <f t="shared" si="4"/>
        <v>1</v>
      </c>
      <c r="H80" s="254" t="s">
        <v>608</v>
      </c>
    </row>
    <row r="81" spans="1:8" ht="12.75">
      <c r="A81" t="str">
        <f t="shared" si="6"/>
        <v>INC157949</v>
      </c>
      <c r="B81" s="244" t="s">
        <v>609</v>
      </c>
      <c r="C81" s="241" t="s">
        <v>775</v>
      </c>
      <c r="D81" s="248">
        <v>-3.923196345567703E-08</v>
      </c>
      <c r="F81" t="str">
        <f t="shared" si="5"/>
        <v>557</v>
      </c>
      <c r="G81" t="b">
        <f t="shared" si="4"/>
        <v>1</v>
      </c>
      <c r="H81" s="254" t="s">
        <v>609</v>
      </c>
    </row>
    <row r="82" spans="1:8" ht="12.75">
      <c r="A82" t="str">
        <f t="shared" si="6"/>
        <v>INC157980</v>
      </c>
      <c r="B82" s="244" t="s">
        <v>610</v>
      </c>
      <c r="C82" s="241" t="s">
        <v>775</v>
      </c>
      <c r="D82" s="248">
        <v>0</v>
      </c>
      <c r="F82" t="str">
        <f t="shared" si="5"/>
        <v>557</v>
      </c>
      <c r="G82" t="b">
        <f t="shared" si="4"/>
        <v>1</v>
      </c>
      <c r="H82" s="254" t="s">
        <v>610</v>
      </c>
    </row>
    <row r="83" spans="1:8" ht="12.75">
      <c r="A83" t="str">
        <f t="shared" si="6"/>
        <v>INC158750</v>
      </c>
      <c r="B83" s="244" t="s">
        <v>611</v>
      </c>
      <c r="C83" s="241" t="s">
        <v>776</v>
      </c>
      <c r="D83" s="248">
        <v>0</v>
      </c>
      <c r="F83" t="str">
        <f t="shared" si="5"/>
        <v>NA </v>
      </c>
      <c r="G83" t="b">
        <f t="shared" si="4"/>
        <v>1</v>
      </c>
      <c r="H83" s="254" t="s">
        <v>611</v>
      </c>
    </row>
    <row r="84" spans="1:8" ht="12.75">
      <c r="A84" t="str">
        <f t="shared" si="6"/>
        <v>INC158751</v>
      </c>
      <c r="B84" s="244" t="s">
        <v>612</v>
      </c>
      <c r="C84" s="241" t="s">
        <v>776</v>
      </c>
      <c r="D84" s="248">
        <v>0</v>
      </c>
      <c r="F84" t="str">
        <f t="shared" si="5"/>
        <v>NA </v>
      </c>
      <c r="G84" t="b">
        <f t="shared" si="4"/>
        <v>1</v>
      </c>
      <c r="H84" s="254" t="s">
        <v>612</v>
      </c>
    </row>
    <row r="85" spans="1:8" ht="12.75">
      <c r="A85" t="str">
        <f t="shared" si="6"/>
        <v>INC158752</v>
      </c>
      <c r="B85" s="244" t="s">
        <v>613</v>
      </c>
      <c r="C85" s="241" t="s">
        <v>776</v>
      </c>
      <c r="D85" s="248">
        <v>2234074</v>
      </c>
      <c r="F85" t="str">
        <f t="shared" si="5"/>
        <v>NA </v>
      </c>
      <c r="G85" t="b">
        <f t="shared" si="4"/>
        <v>1</v>
      </c>
      <c r="H85" s="254" t="s">
        <v>613</v>
      </c>
    </row>
    <row r="86" spans="1:8" ht="12.75">
      <c r="A86" t="str">
        <f t="shared" si="6"/>
        <v>INC158753</v>
      </c>
      <c r="B86" s="244" t="s">
        <v>614</v>
      </c>
      <c r="C86" s="241" t="s">
        <v>776</v>
      </c>
      <c r="D86" s="248">
        <v>0</v>
      </c>
      <c r="F86" t="str">
        <f t="shared" si="5"/>
        <v>NA </v>
      </c>
      <c r="G86" t="b">
        <f t="shared" si="4"/>
        <v>1</v>
      </c>
      <c r="H86" s="254" t="s">
        <v>614</v>
      </c>
    </row>
    <row r="87" spans="1:8" ht="12.75">
      <c r="A87" t="str">
        <f t="shared" si="6"/>
        <v>INC158754</v>
      </c>
      <c r="B87" s="244" t="s">
        <v>615</v>
      </c>
      <c r="C87" s="241" t="s">
        <v>776</v>
      </c>
      <c r="D87" s="248">
        <v>0</v>
      </c>
      <c r="F87" t="str">
        <f t="shared" si="5"/>
        <v>NA </v>
      </c>
      <c r="G87" t="b">
        <f t="shared" si="4"/>
        <v>1</v>
      </c>
      <c r="H87" s="254" t="s">
        <v>615</v>
      </c>
    </row>
    <row r="88" spans="1:8" ht="12.75">
      <c r="A88" t="str">
        <f t="shared" si="6"/>
        <v>INC158755</v>
      </c>
      <c r="B88" s="244" t="s">
        <v>616</v>
      </c>
      <c r="C88" s="241" t="s">
        <v>776</v>
      </c>
      <c r="D88" s="248">
        <v>0</v>
      </c>
      <c r="F88" t="str">
        <f t="shared" si="5"/>
        <v>NA </v>
      </c>
      <c r="G88" t="b">
        <f t="shared" si="4"/>
        <v>1</v>
      </c>
      <c r="H88" s="254" t="s">
        <v>616</v>
      </c>
    </row>
    <row r="89" spans="1:8" ht="12.75">
      <c r="A89" t="str">
        <f t="shared" si="6"/>
        <v>INC158756</v>
      </c>
      <c r="B89" s="244" t="s">
        <v>617</v>
      </c>
      <c r="C89" s="241" t="s">
        <v>776</v>
      </c>
      <c r="D89" s="248">
        <v>0</v>
      </c>
      <c r="F89" t="str">
        <f t="shared" si="5"/>
        <v>NA </v>
      </c>
      <c r="G89" t="b">
        <f t="shared" si="4"/>
        <v>1</v>
      </c>
      <c r="H89" s="254" t="s">
        <v>617</v>
      </c>
    </row>
    <row r="90" spans="1:8" ht="12.75">
      <c r="A90" t="str">
        <f t="shared" si="6"/>
        <v>INC158758</v>
      </c>
      <c r="B90" s="244" t="s">
        <v>618</v>
      </c>
      <c r="C90" s="241" t="s">
        <v>776</v>
      </c>
      <c r="D90" s="248">
        <v>0</v>
      </c>
      <c r="F90" t="str">
        <f t="shared" si="5"/>
        <v>NA </v>
      </c>
      <c r="G90" t="b">
        <f t="shared" si="4"/>
        <v>1</v>
      </c>
      <c r="H90" s="254" t="s">
        <v>618</v>
      </c>
    </row>
    <row r="91" spans="1:8" ht="12.75">
      <c r="A91" t="str">
        <f t="shared" si="6"/>
        <v>INC158759</v>
      </c>
      <c r="B91" s="244" t="s">
        <v>619</v>
      </c>
      <c r="C91" s="241" t="s">
        <v>776</v>
      </c>
      <c r="D91" s="248">
        <v>69862014</v>
      </c>
      <c r="F91" t="str">
        <f t="shared" si="5"/>
        <v>NA </v>
      </c>
      <c r="G91" t="b">
        <f t="shared" si="4"/>
        <v>1</v>
      </c>
      <c r="H91" s="254" t="s">
        <v>619</v>
      </c>
    </row>
    <row r="92" spans="1:8" ht="12.75">
      <c r="A92" t="str">
        <f t="shared" si="6"/>
        <v>INC158760</v>
      </c>
      <c r="B92" s="244" t="s">
        <v>620</v>
      </c>
      <c r="C92" s="241" t="s">
        <v>776</v>
      </c>
      <c r="D92" s="248">
        <v>0</v>
      </c>
      <c r="F92" t="str">
        <f t="shared" si="5"/>
        <v>NA </v>
      </c>
      <c r="G92" t="b">
        <f t="shared" si="4"/>
        <v>1</v>
      </c>
      <c r="H92" s="254" t="s">
        <v>620</v>
      </c>
    </row>
    <row r="93" spans="1:8" ht="12.75">
      <c r="A93" t="str">
        <f t="shared" si="6"/>
        <v>INC158761</v>
      </c>
      <c r="B93" s="244" t="s">
        <v>621</v>
      </c>
      <c r="C93" s="241" t="s">
        <v>776</v>
      </c>
      <c r="D93" s="248">
        <v>0</v>
      </c>
      <c r="F93" t="str">
        <f t="shared" si="5"/>
        <v>NA </v>
      </c>
      <c r="G93" t="b">
        <f t="shared" si="4"/>
        <v>1</v>
      </c>
      <c r="H93" s="254" t="s">
        <v>621</v>
      </c>
    </row>
    <row r="94" spans="1:8" ht="12.75">
      <c r="A94" t="str">
        <f t="shared" si="6"/>
        <v>INC158763</v>
      </c>
      <c r="B94" s="244" t="s">
        <v>622</v>
      </c>
      <c r="C94" s="241" t="s">
        <v>776</v>
      </c>
      <c r="D94" s="248">
        <v>0</v>
      </c>
      <c r="F94" t="str">
        <f t="shared" si="5"/>
        <v>NA </v>
      </c>
      <c r="G94" t="b">
        <f t="shared" si="4"/>
        <v>1</v>
      </c>
      <c r="H94" s="254" t="s">
        <v>622</v>
      </c>
    </row>
    <row r="95" spans="1:8" ht="12.75">
      <c r="A95" t="str">
        <f t="shared" si="6"/>
        <v>INC158769</v>
      </c>
      <c r="B95" s="244" t="s">
        <v>623</v>
      </c>
      <c r="C95" s="241" t="s">
        <v>776</v>
      </c>
      <c r="D95" s="248">
        <v>0</v>
      </c>
      <c r="F95" t="str">
        <f t="shared" si="5"/>
        <v>NA </v>
      </c>
      <c r="G95" t="b">
        <f t="shared" si="4"/>
        <v>1</v>
      </c>
      <c r="H95" s="254" t="s">
        <v>623</v>
      </c>
    </row>
    <row r="96" spans="1:8" ht="12.75">
      <c r="A96" t="str">
        <f t="shared" si="6"/>
        <v>INC158795</v>
      </c>
      <c r="B96" s="244" t="s">
        <v>624</v>
      </c>
      <c r="C96" s="241" t="s">
        <v>776</v>
      </c>
      <c r="D96" s="248">
        <v>0</v>
      </c>
      <c r="F96" t="str">
        <f t="shared" si="5"/>
        <v>NA </v>
      </c>
      <c r="G96" t="b">
        <f t="shared" si="4"/>
        <v>1</v>
      </c>
      <c r="H96" s="254" t="s">
        <v>624</v>
      </c>
    </row>
    <row r="97" spans="1:8" ht="12.75">
      <c r="A97" t="str">
        <f t="shared" si="6"/>
        <v>INC158796</v>
      </c>
      <c r="B97" s="244" t="s">
        <v>625</v>
      </c>
      <c r="C97" s="241" t="s">
        <v>776</v>
      </c>
      <c r="D97" s="248">
        <v>0</v>
      </c>
      <c r="F97" t="str">
        <f t="shared" si="5"/>
        <v>NA </v>
      </c>
      <c r="G97" t="b">
        <f t="shared" si="4"/>
        <v>1</v>
      </c>
      <c r="H97" s="254" t="s">
        <v>625</v>
      </c>
    </row>
    <row r="98" spans="1:8" ht="12.75">
      <c r="A98" t="str">
        <f t="shared" si="6"/>
        <v>INC158798</v>
      </c>
      <c r="B98" s="244" t="s">
        <v>626</v>
      </c>
      <c r="C98" s="241" t="s">
        <v>776</v>
      </c>
      <c r="D98" s="248">
        <v>0</v>
      </c>
      <c r="F98" t="str">
        <f t="shared" si="5"/>
        <v>NA </v>
      </c>
      <c r="G98" t="b">
        <f t="shared" si="4"/>
        <v>1</v>
      </c>
      <c r="H98" s="254" t="s">
        <v>626</v>
      </c>
    </row>
    <row r="99" spans="1:8" ht="13.5" thickBot="1">
      <c r="A99" t="str">
        <f t="shared" si="6"/>
        <v>INC607303</v>
      </c>
      <c r="B99" s="244" t="s">
        <v>627</v>
      </c>
      <c r="C99" s="241" t="s">
        <v>775</v>
      </c>
      <c r="D99" s="248">
        <v>0</v>
      </c>
      <c r="F99" t="str">
        <f t="shared" si="5"/>
        <v>557</v>
      </c>
      <c r="G99" t="b">
        <f t="shared" si="4"/>
        <v>1</v>
      </c>
      <c r="H99" s="254" t="s">
        <v>627</v>
      </c>
    </row>
    <row r="100" spans="1:8" ht="12.75">
      <c r="A100" t="str">
        <f t="shared" si="6"/>
        <v>OTHER POW</v>
      </c>
      <c r="B100" s="243" t="s">
        <v>582</v>
      </c>
      <c r="C100" s="245" t="s">
        <v>742</v>
      </c>
      <c r="D100" s="255">
        <v>3169464108.856426</v>
      </c>
      <c r="F100">
        <f t="shared" si="5"/>
      </c>
      <c r="G100" t="b">
        <f t="shared" si="4"/>
        <v>1</v>
      </c>
      <c r="H100" s="253" t="s">
        <v>582</v>
      </c>
    </row>
    <row r="101" spans="1:7" ht="12.75">
      <c r="A101">
        <f t="shared" si="6"/>
      </c>
      <c r="B101"/>
      <c r="C101" s="240"/>
      <c r="F101">
        <f t="shared" si="5"/>
      </c>
      <c r="G101" t="b">
        <f t="shared" si="4"/>
        <v>1</v>
      </c>
    </row>
    <row r="102" spans="1:8" ht="12.75">
      <c r="A102" t="str">
        <f t="shared" si="6"/>
        <v>TRANSMISS</v>
      </c>
      <c r="B102" s="243" t="s">
        <v>628</v>
      </c>
      <c r="C102" s="241"/>
      <c r="D102" s="248"/>
      <c r="F102">
        <f t="shared" si="5"/>
      </c>
      <c r="G102" t="b">
        <f t="shared" si="4"/>
        <v>1</v>
      </c>
      <c r="H102" s="253" t="s">
        <v>628</v>
      </c>
    </row>
    <row r="103" spans="1:8" ht="12.75">
      <c r="A103" t="str">
        <f t="shared" si="6"/>
        <v>INC260010</v>
      </c>
      <c r="B103" s="244" t="s">
        <v>629</v>
      </c>
      <c r="C103" s="241" t="s">
        <v>777</v>
      </c>
      <c r="D103" s="248">
        <v>7370787.220000002</v>
      </c>
      <c r="F103" t="str">
        <f t="shared" si="5"/>
        <v>560</v>
      </c>
      <c r="G103" t="b">
        <f t="shared" si="4"/>
        <v>1</v>
      </c>
      <c r="H103" s="254" t="s">
        <v>629</v>
      </c>
    </row>
    <row r="104" spans="1:8" ht="12.75">
      <c r="A104" t="str">
        <f t="shared" si="6"/>
        <v>INC261000</v>
      </c>
      <c r="B104" s="244" t="s">
        <v>630</v>
      </c>
      <c r="C104" s="241" t="s">
        <v>778</v>
      </c>
      <c r="D104" s="248">
        <v>11111678.5</v>
      </c>
      <c r="F104" t="str">
        <f aca="true" t="shared" si="7" ref="F104:F135">LEFT(C104,3)</f>
        <v>561</v>
      </c>
      <c r="G104" t="b">
        <f t="shared" si="4"/>
        <v>1</v>
      </c>
      <c r="H104" s="254" t="s">
        <v>630</v>
      </c>
    </row>
    <row r="105" spans="1:8" ht="12.75">
      <c r="A105" t="str">
        <f t="shared" si="6"/>
        <v>INC262000</v>
      </c>
      <c r="B105" s="244" t="s">
        <v>631</v>
      </c>
      <c r="C105" s="241" t="s">
        <v>779</v>
      </c>
      <c r="D105" s="248">
        <v>3252433.41</v>
      </c>
      <c r="F105" t="str">
        <f t="shared" si="7"/>
        <v>562</v>
      </c>
      <c r="G105" t="b">
        <f t="shared" si="4"/>
        <v>1</v>
      </c>
      <c r="H105" s="254" t="s">
        <v>631</v>
      </c>
    </row>
    <row r="106" spans="1:8" ht="12.75">
      <c r="A106" t="str">
        <f t="shared" si="6"/>
        <v>INC263000</v>
      </c>
      <c r="B106" s="244" t="s">
        <v>632</v>
      </c>
      <c r="C106" s="241" t="s">
        <v>780</v>
      </c>
      <c r="D106" s="248">
        <v>375000</v>
      </c>
      <c r="F106" t="str">
        <f t="shared" si="7"/>
        <v>563</v>
      </c>
      <c r="G106" t="b">
        <f t="shared" si="4"/>
        <v>1</v>
      </c>
      <c r="H106" s="254" t="s">
        <v>632</v>
      </c>
    </row>
    <row r="107" spans="1:8" ht="12.75">
      <c r="A107" t="str">
        <f t="shared" si="6"/>
        <v>INC265000</v>
      </c>
      <c r="B107" s="244" t="s">
        <v>633</v>
      </c>
      <c r="C107" s="241" t="s">
        <v>781</v>
      </c>
      <c r="D107" s="248">
        <v>18911182.470000003</v>
      </c>
      <c r="F107" t="str">
        <f t="shared" si="7"/>
        <v>565</v>
      </c>
      <c r="G107" t="b">
        <f t="shared" si="4"/>
        <v>1</v>
      </c>
      <c r="H107" s="254" t="s">
        <v>633</v>
      </c>
    </row>
    <row r="108" spans="1:8" ht="12.75">
      <c r="A108" t="str">
        <f t="shared" si="6"/>
        <v>INC265120</v>
      </c>
      <c r="B108" s="244" t="s">
        <v>634</v>
      </c>
      <c r="C108" s="241" t="s">
        <v>781</v>
      </c>
      <c r="D108" s="248">
        <v>1940017.1900000004</v>
      </c>
      <c r="F108" t="str">
        <f t="shared" si="7"/>
        <v>565</v>
      </c>
      <c r="G108" t="b">
        <f t="shared" si="4"/>
        <v>1</v>
      </c>
      <c r="H108" s="254" t="s">
        <v>634</v>
      </c>
    </row>
    <row r="109" spans="1:8" ht="12.75">
      <c r="A109" t="str">
        <f t="shared" si="6"/>
        <v>INC265130</v>
      </c>
      <c r="B109" s="244" t="s">
        <v>635</v>
      </c>
      <c r="C109" s="241" t="s">
        <v>781</v>
      </c>
      <c r="D109" s="248">
        <v>1885191.1599999997</v>
      </c>
      <c r="F109" t="str">
        <f t="shared" si="7"/>
        <v>565</v>
      </c>
      <c r="G109" t="b">
        <f t="shared" si="4"/>
        <v>1</v>
      </c>
      <c r="H109" s="254" t="s">
        <v>635</v>
      </c>
    </row>
    <row r="110" spans="1:8" ht="12.75">
      <c r="A110" t="str">
        <f t="shared" si="6"/>
        <v>INC266000</v>
      </c>
      <c r="B110" s="244" t="s">
        <v>636</v>
      </c>
      <c r="C110" s="241" t="s">
        <v>782</v>
      </c>
      <c r="D110" s="248">
        <v>4210198.17</v>
      </c>
      <c r="F110" t="str">
        <f t="shared" si="7"/>
        <v>566</v>
      </c>
      <c r="G110" t="b">
        <f t="shared" si="4"/>
        <v>1</v>
      </c>
      <c r="H110" s="254" t="s">
        <v>636</v>
      </c>
    </row>
    <row r="111" spans="1:8" ht="12.75">
      <c r="A111" t="str">
        <f t="shared" si="6"/>
        <v>INC266050</v>
      </c>
      <c r="B111" s="244" t="s">
        <v>637</v>
      </c>
      <c r="C111" s="241" t="s">
        <v>782</v>
      </c>
      <c r="D111" s="248">
        <v>0</v>
      </c>
      <c r="F111" t="str">
        <f t="shared" si="7"/>
        <v>566</v>
      </c>
      <c r="G111" t="b">
        <f t="shared" si="4"/>
        <v>1</v>
      </c>
      <c r="H111" s="254" t="s">
        <v>637</v>
      </c>
    </row>
    <row r="112" spans="1:8" ht="12.75">
      <c r="A112" t="str">
        <f t="shared" si="6"/>
        <v>INC267000</v>
      </c>
      <c r="B112" s="244" t="s">
        <v>638</v>
      </c>
      <c r="C112" s="241" t="s">
        <v>783</v>
      </c>
      <c r="D112" s="248">
        <v>-12000</v>
      </c>
      <c r="F112" t="str">
        <f t="shared" si="7"/>
        <v>567</v>
      </c>
      <c r="G112" t="b">
        <f t="shared" si="4"/>
        <v>1</v>
      </c>
      <c r="H112" s="254" t="s">
        <v>638</v>
      </c>
    </row>
    <row r="113" spans="1:8" ht="12.75">
      <c r="A113" t="str">
        <f t="shared" si="6"/>
        <v>INC268010</v>
      </c>
      <c r="B113" s="244" t="s">
        <v>639</v>
      </c>
      <c r="C113" s="241" t="s">
        <v>784</v>
      </c>
      <c r="D113" s="248">
        <v>605679.13</v>
      </c>
      <c r="F113" t="str">
        <f t="shared" si="7"/>
        <v>568</v>
      </c>
      <c r="G113" t="b">
        <f t="shared" si="4"/>
        <v>1</v>
      </c>
      <c r="H113" s="254" t="s">
        <v>639</v>
      </c>
    </row>
    <row r="114" spans="1:8" ht="12.75">
      <c r="A114" t="str">
        <f t="shared" si="6"/>
        <v>INC269000</v>
      </c>
      <c r="B114" s="244" t="s">
        <v>640</v>
      </c>
      <c r="C114" s="241" t="s">
        <v>785</v>
      </c>
      <c r="D114" s="248">
        <v>4196676.41</v>
      </c>
      <c r="F114" t="str">
        <f t="shared" si="7"/>
        <v>569</v>
      </c>
      <c r="G114" t="b">
        <f t="shared" si="4"/>
        <v>1</v>
      </c>
      <c r="H114" s="254" t="s">
        <v>640</v>
      </c>
    </row>
    <row r="115" spans="1:8" ht="12.75">
      <c r="A115" t="str">
        <f t="shared" si="6"/>
        <v>INC270000</v>
      </c>
      <c r="B115" s="244" t="s">
        <v>641</v>
      </c>
      <c r="C115" s="241" t="s">
        <v>786</v>
      </c>
      <c r="D115" s="248">
        <v>4425864.08</v>
      </c>
      <c r="F115" t="str">
        <f t="shared" si="7"/>
        <v>570</v>
      </c>
      <c r="G115" t="b">
        <f t="shared" si="4"/>
        <v>1</v>
      </c>
      <c r="H115" s="254" t="s">
        <v>641</v>
      </c>
    </row>
    <row r="116" spans="1:8" ht="12.75">
      <c r="A116" t="str">
        <f t="shared" si="6"/>
        <v>INC270020</v>
      </c>
      <c r="B116" s="244" t="s">
        <v>642</v>
      </c>
      <c r="C116" s="241" t="s">
        <v>786</v>
      </c>
      <c r="D116" s="248">
        <v>1126939.97</v>
      </c>
      <c r="F116" t="str">
        <f t="shared" si="7"/>
        <v>570</v>
      </c>
      <c r="G116" t="b">
        <f t="shared" si="4"/>
        <v>1</v>
      </c>
      <c r="H116" s="254" t="s">
        <v>642</v>
      </c>
    </row>
    <row r="117" spans="1:8" ht="12.75">
      <c r="A117" t="str">
        <f t="shared" si="6"/>
        <v>INC271000</v>
      </c>
      <c r="B117" s="244" t="s">
        <v>643</v>
      </c>
      <c r="C117" s="241" t="s">
        <v>787</v>
      </c>
      <c r="D117" s="248">
        <v>11739224.52</v>
      </c>
      <c r="F117" t="str">
        <f t="shared" si="7"/>
        <v>571</v>
      </c>
      <c r="G117" t="b">
        <f t="shared" si="4"/>
        <v>1</v>
      </c>
      <c r="H117" s="254" t="s">
        <v>643</v>
      </c>
    </row>
    <row r="118" spans="1:8" ht="12.75">
      <c r="A118" t="str">
        <f t="shared" si="6"/>
        <v>INC272000</v>
      </c>
      <c r="B118" s="244" t="s">
        <v>644</v>
      </c>
      <c r="C118" s="241" t="s">
        <v>788</v>
      </c>
      <c r="D118" s="248">
        <v>1254000</v>
      </c>
      <c r="F118" t="str">
        <f t="shared" si="7"/>
        <v>572</v>
      </c>
      <c r="G118" t="b">
        <f t="shared" si="4"/>
        <v>1</v>
      </c>
      <c r="H118" s="254" t="s">
        <v>644</v>
      </c>
    </row>
    <row r="119" spans="1:8" ht="13.5" thickBot="1">
      <c r="A119" t="str">
        <f t="shared" si="6"/>
        <v>INC273000</v>
      </c>
      <c r="B119" s="244" t="s">
        <v>645</v>
      </c>
      <c r="C119" s="241" t="s">
        <v>789</v>
      </c>
      <c r="D119" s="248">
        <v>667497.7999999998</v>
      </c>
      <c r="F119" t="str">
        <f t="shared" si="7"/>
        <v>573</v>
      </c>
      <c r="G119" t="b">
        <f t="shared" si="4"/>
        <v>1</v>
      </c>
      <c r="H119" s="254" t="s">
        <v>645</v>
      </c>
    </row>
    <row r="120" spans="1:8" ht="12.75">
      <c r="A120" t="str">
        <f t="shared" si="6"/>
        <v>TRANSMISS</v>
      </c>
      <c r="B120" s="243" t="s">
        <v>628</v>
      </c>
      <c r="C120" s="245" t="s">
        <v>742</v>
      </c>
      <c r="D120" s="255">
        <v>73060370.03</v>
      </c>
      <c r="F120">
        <f t="shared" si="7"/>
      </c>
      <c r="G120" t="b">
        <f t="shared" si="4"/>
        <v>1</v>
      </c>
      <c r="H120" s="253" t="s">
        <v>628</v>
      </c>
    </row>
    <row r="121" spans="1:7" ht="12.75">
      <c r="A121">
        <f t="shared" si="6"/>
      </c>
      <c r="B121"/>
      <c r="C121" s="240"/>
      <c r="F121">
        <f t="shared" si="7"/>
      </c>
      <c r="G121" t="b">
        <f t="shared" si="4"/>
        <v>1</v>
      </c>
    </row>
    <row r="122" spans="1:8" ht="12.75">
      <c r="A122" t="str">
        <f t="shared" si="6"/>
        <v>DISTRIBUT</v>
      </c>
      <c r="B122" s="243" t="s">
        <v>646</v>
      </c>
      <c r="C122" s="241"/>
      <c r="D122" s="248"/>
      <c r="F122">
        <f t="shared" si="7"/>
      </c>
      <c r="G122" t="b">
        <f t="shared" si="4"/>
        <v>1</v>
      </c>
      <c r="H122" s="253" t="s">
        <v>646</v>
      </c>
    </row>
    <row r="123" spans="1:8" ht="12.75">
      <c r="A123" t="str">
        <f t="shared" si="6"/>
        <v>INC380000</v>
      </c>
      <c r="B123" s="244" t="s">
        <v>647</v>
      </c>
      <c r="C123" s="241" t="s">
        <v>790</v>
      </c>
      <c r="D123" s="248">
        <v>22178624.26</v>
      </c>
      <c r="F123" t="str">
        <f t="shared" si="7"/>
        <v>580</v>
      </c>
      <c r="G123" t="b">
        <f t="shared" si="4"/>
        <v>1</v>
      </c>
      <c r="H123" s="254" t="s">
        <v>647</v>
      </c>
    </row>
    <row r="124" spans="1:8" ht="12.75">
      <c r="A124" t="str">
        <f t="shared" si="6"/>
        <v>INC381000</v>
      </c>
      <c r="B124" s="244" t="s">
        <v>648</v>
      </c>
      <c r="C124" s="241" t="s">
        <v>791</v>
      </c>
      <c r="D124" s="248">
        <v>5995483.25</v>
      </c>
      <c r="F124" t="str">
        <f t="shared" si="7"/>
        <v>581</v>
      </c>
      <c r="G124" t="b">
        <f t="shared" si="4"/>
        <v>1</v>
      </c>
      <c r="H124" s="254" t="s">
        <v>648</v>
      </c>
    </row>
    <row r="125" spans="1:8" ht="12.75">
      <c r="A125" t="str">
        <f t="shared" si="6"/>
        <v>INC382000</v>
      </c>
      <c r="B125" s="244" t="s">
        <v>649</v>
      </c>
      <c r="C125" s="241" t="s">
        <v>792</v>
      </c>
      <c r="D125" s="248">
        <v>2650228.1000000006</v>
      </c>
      <c r="F125" t="str">
        <f t="shared" si="7"/>
        <v>582</v>
      </c>
      <c r="G125" t="b">
        <f t="shared" si="4"/>
        <v>1</v>
      </c>
      <c r="H125" s="254" t="s">
        <v>649</v>
      </c>
    </row>
    <row r="126" spans="1:8" ht="12.75">
      <c r="A126" t="str">
        <f t="shared" si="6"/>
        <v>INC383000</v>
      </c>
      <c r="B126" s="244" t="s">
        <v>650</v>
      </c>
      <c r="C126" s="241" t="s">
        <v>793</v>
      </c>
      <c r="D126" s="248">
        <v>14872852.460000036</v>
      </c>
      <c r="F126" t="str">
        <f t="shared" si="7"/>
        <v>583</v>
      </c>
      <c r="G126" t="b">
        <f t="shared" si="4"/>
        <v>1</v>
      </c>
      <c r="H126" s="254" t="s">
        <v>650</v>
      </c>
    </row>
    <row r="127" spans="1:8" ht="12.75">
      <c r="A127" t="str">
        <f t="shared" si="6"/>
        <v>INC384000</v>
      </c>
      <c r="B127" s="244" t="s">
        <v>651</v>
      </c>
      <c r="C127" s="241" t="s">
        <v>794</v>
      </c>
      <c r="D127" s="248">
        <v>6436904.519999996</v>
      </c>
      <c r="F127" t="str">
        <f t="shared" si="7"/>
        <v>584</v>
      </c>
      <c r="G127" t="b">
        <f t="shared" si="4"/>
        <v>1</v>
      </c>
      <c r="H127" s="254" t="s">
        <v>651</v>
      </c>
    </row>
    <row r="128" spans="1:8" ht="12.75">
      <c r="A128" t="str">
        <f t="shared" si="6"/>
        <v>INC385000</v>
      </c>
      <c r="B128" s="244" t="s">
        <v>652</v>
      </c>
      <c r="C128" s="241" t="s">
        <v>795</v>
      </c>
      <c r="D128" s="248">
        <v>267111.12</v>
      </c>
      <c r="F128" t="str">
        <f t="shared" si="7"/>
        <v>585</v>
      </c>
      <c r="G128" t="b">
        <f t="shared" si="4"/>
        <v>1</v>
      </c>
      <c r="H128" s="254" t="s">
        <v>652</v>
      </c>
    </row>
    <row r="129" spans="1:8" ht="12.75">
      <c r="A129" t="str">
        <f t="shared" si="6"/>
        <v>INC386000</v>
      </c>
      <c r="B129" s="244" t="s">
        <v>653</v>
      </c>
      <c r="C129" s="241" t="s">
        <v>796</v>
      </c>
      <c r="D129" s="248">
        <v>4059443.1</v>
      </c>
      <c r="F129" t="str">
        <f t="shared" si="7"/>
        <v>586</v>
      </c>
      <c r="G129" t="b">
        <f t="shared" si="4"/>
        <v>1</v>
      </c>
      <c r="H129" s="254" t="s">
        <v>653</v>
      </c>
    </row>
    <row r="130" spans="1:8" ht="12.75">
      <c r="A130" t="str">
        <f t="shared" si="6"/>
        <v>INC387000</v>
      </c>
      <c r="B130" s="244" t="s">
        <v>654</v>
      </c>
      <c r="C130" s="241" t="s">
        <v>797</v>
      </c>
      <c r="D130" s="248">
        <v>2524805.9500000007</v>
      </c>
      <c r="F130" t="str">
        <f t="shared" si="7"/>
        <v>587</v>
      </c>
      <c r="G130" t="b">
        <f t="shared" si="4"/>
        <v>1</v>
      </c>
      <c r="H130" s="254" t="s">
        <v>654</v>
      </c>
    </row>
    <row r="131" spans="1:8" ht="12.75">
      <c r="A131" t="str">
        <f t="shared" si="6"/>
        <v>INC387010</v>
      </c>
      <c r="B131" s="244" t="s">
        <v>655</v>
      </c>
      <c r="C131" s="241" t="s">
        <v>797</v>
      </c>
      <c r="D131" s="248">
        <v>1538519.3600000003</v>
      </c>
      <c r="F131" t="str">
        <f t="shared" si="7"/>
        <v>587</v>
      </c>
      <c r="G131" t="b">
        <f t="shared" si="4"/>
        <v>1</v>
      </c>
      <c r="H131" s="254" t="s">
        <v>655</v>
      </c>
    </row>
    <row r="132" spans="1:8" ht="12.75">
      <c r="A132" t="str">
        <f t="shared" si="6"/>
        <v>INC388000</v>
      </c>
      <c r="B132" s="244" t="s">
        <v>656</v>
      </c>
      <c r="C132" s="241" t="s">
        <v>798</v>
      </c>
      <c r="D132" s="248">
        <v>42803122.00999999</v>
      </c>
      <c r="F132" t="str">
        <f t="shared" si="7"/>
        <v>588</v>
      </c>
      <c r="G132" t="b">
        <f t="shared" si="4"/>
        <v>1</v>
      </c>
      <c r="H132" s="254" t="s">
        <v>656</v>
      </c>
    </row>
    <row r="133" spans="1:8" ht="12.75">
      <c r="A133" t="str">
        <f t="shared" si="6"/>
        <v>INC389000</v>
      </c>
      <c r="B133" s="244" t="s">
        <v>657</v>
      </c>
      <c r="C133" s="241" t="s">
        <v>799</v>
      </c>
      <c r="D133" s="248">
        <v>10622000</v>
      </c>
      <c r="F133" t="str">
        <f t="shared" si="7"/>
        <v>589</v>
      </c>
      <c r="G133" t="b">
        <f t="shared" si="4"/>
        <v>1</v>
      </c>
      <c r="H133" s="254" t="s">
        <v>657</v>
      </c>
    </row>
    <row r="134" spans="1:8" ht="12.75">
      <c r="A134" t="str">
        <f t="shared" si="6"/>
        <v>INC390000</v>
      </c>
      <c r="B134" s="244" t="s">
        <v>658</v>
      </c>
      <c r="C134" s="241" t="s">
        <v>800</v>
      </c>
      <c r="D134" s="248">
        <v>16598421.670000004</v>
      </c>
      <c r="F134" t="str">
        <f t="shared" si="7"/>
        <v>590</v>
      </c>
      <c r="G134" t="b">
        <f aca="true" t="shared" si="8" ref="G134:G197">H134=B134</f>
        <v>1</v>
      </c>
      <c r="H134" s="254" t="s">
        <v>658</v>
      </c>
    </row>
    <row r="135" spans="1:8" ht="12.75">
      <c r="A135" t="str">
        <f t="shared" si="6"/>
        <v>INC390010</v>
      </c>
      <c r="B135" s="244" t="s">
        <v>659</v>
      </c>
      <c r="C135" s="241" t="s">
        <v>800</v>
      </c>
      <c r="D135" s="248">
        <v>1283227.21</v>
      </c>
      <c r="F135" t="str">
        <f t="shared" si="7"/>
        <v>590</v>
      </c>
      <c r="G135" t="b">
        <f t="shared" si="8"/>
        <v>1</v>
      </c>
      <c r="H135" s="254" t="s">
        <v>659</v>
      </c>
    </row>
    <row r="136" spans="1:8" ht="12.75">
      <c r="A136" t="str">
        <f t="shared" si="6"/>
        <v>INC391000</v>
      </c>
      <c r="B136" s="244" t="s">
        <v>660</v>
      </c>
      <c r="C136" s="241" t="s">
        <v>801</v>
      </c>
      <c r="D136" s="248">
        <v>0</v>
      </c>
      <c r="F136" t="str">
        <f aca="true" t="shared" si="9" ref="F136:F167">LEFT(C136,3)</f>
        <v>591</v>
      </c>
      <c r="G136" t="b">
        <f t="shared" si="8"/>
        <v>1</v>
      </c>
      <c r="H136" s="254" t="s">
        <v>660</v>
      </c>
    </row>
    <row r="137" spans="1:8" ht="12.75">
      <c r="A137" t="str">
        <f aca="true" t="shared" si="10" ref="A137:A200">LEFT(B137,9)</f>
        <v>INC392000</v>
      </c>
      <c r="B137" s="244" t="s">
        <v>661</v>
      </c>
      <c r="C137" s="241" t="s">
        <v>802</v>
      </c>
      <c r="D137" s="248">
        <v>11037854.910000006</v>
      </c>
      <c r="F137" t="str">
        <f t="shared" si="9"/>
        <v>592</v>
      </c>
      <c r="G137" t="b">
        <f t="shared" si="8"/>
        <v>1</v>
      </c>
      <c r="H137" s="254" t="s">
        <v>661</v>
      </c>
    </row>
    <row r="138" spans="1:8" ht="12.75">
      <c r="A138" t="str">
        <f t="shared" si="10"/>
        <v>INC392010</v>
      </c>
      <c r="B138" s="244" t="s">
        <v>662</v>
      </c>
      <c r="C138" s="241" t="s">
        <v>802</v>
      </c>
      <c r="D138" s="248">
        <v>3187619.4600000004</v>
      </c>
      <c r="F138" t="str">
        <f t="shared" si="9"/>
        <v>592</v>
      </c>
      <c r="G138" t="b">
        <f t="shared" si="8"/>
        <v>1</v>
      </c>
      <c r="H138" s="254" t="s">
        <v>662</v>
      </c>
    </row>
    <row r="139" spans="1:8" ht="12.75">
      <c r="A139" t="str">
        <f t="shared" si="10"/>
        <v>INC393000</v>
      </c>
      <c r="B139" s="244" t="s">
        <v>663</v>
      </c>
      <c r="C139" s="241" t="s">
        <v>803</v>
      </c>
      <c r="D139" s="248">
        <v>127045723.69999997</v>
      </c>
      <c r="F139" t="str">
        <f t="shared" si="9"/>
        <v>593</v>
      </c>
      <c r="G139" t="b">
        <f t="shared" si="8"/>
        <v>1</v>
      </c>
      <c r="H139" s="254" t="s">
        <v>663</v>
      </c>
    </row>
    <row r="140" spans="1:8" ht="12.75">
      <c r="A140" t="str">
        <f t="shared" si="10"/>
        <v>INC394000</v>
      </c>
      <c r="B140" s="244" t="s">
        <v>664</v>
      </c>
      <c r="C140" s="241" t="s">
        <v>804</v>
      </c>
      <c r="D140" s="248">
        <v>28531696.43000002</v>
      </c>
      <c r="F140" t="str">
        <f t="shared" si="9"/>
        <v>594</v>
      </c>
      <c r="G140" t="b">
        <f t="shared" si="8"/>
        <v>1</v>
      </c>
      <c r="H140" s="254" t="s">
        <v>664</v>
      </c>
    </row>
    <row r="141" spans="1:8" ht="12.75">
      <c r="A141" t="str">
        <f t="shared" si="10"/>
        <v>INC395000</v>
      </c>
      <c r="B141" s="244" t="s">
        <v>665</v>
      </c>
      <c r="C141" s="241" t="s">
        <v>805</v>
      </c>
      <c r="D141" s="248">
        <v>-0.9100000000000004</v>
      </c>
      <c r="F141" t="str">
        <f t="shared" si="9"/>
        <v>595</v>
      </c>
      <c r="G141" t="b">
        <f t="shared" si="8"/>
        <v>1</v>
      </c>
      <c r="H141" s="254" t="s">
        <v>665</v>
      </c>
    </row>
    <row r="142" spans="1:8" ht="12.75">
      <c r="A142" t="str">
        <f t="shared" si="10"/>
        <v>INC396000</v>
      </c>
      <c r="B142" s="244" t="s">
        <v>666</v>
      </c>
      <c r="C142" s="241" t="s">
        <v>806</v>
      </c>
      <c r="D142" s="248">
        <v>11802670.370000014</v>
      </c>
      <c r="F142" t="str">
        <f t="shared" si="9"/>
        <v>596</v>
      </c>
      <c r="G142" t="b">
        <f t="shared" si="8"/>
        <v>1</v>
      </c>
      <c r="H142" s="254" t="s">
        <v>666</v>
      </c>
    </row>
    <row r="143" spans="1:8" ht="12.75">
      <c r="A143" t="str">
        <f t="shared" si="10"/>
        <v>INC397000</v>
      </c>
      <c r="B143" s="244" t="s">
        <v>667</v>
      </c>
      <c r="C143" s="241" t="s">
        <v>807</v>
      </c>
      <c r="D143" s="248">
        <v>4142111.789999999</v>
      </c>
      <c r="F143" t="str">
        <f t="shared" si="9"/>
        <v>597</v>
      </c>
      <c r="G143" t="b">
        <f t="shared" si="8"/>
        <v>1</v>
      </c>
      <c r="H143" s="254" t="s">
        <v>667</v>
      </c>
    </row>
    <row r="144" spans="1:8" ht="13.5" thickBot="1">
      <c r="A144" t="str">
        <f t="shared" si="10"/>
        <v>INC398000</v>
      </c>
      <c r="B144" s="244" t="s">
        <v>668</v>
      </c>
      <c r="C144" s="241" t="s">
        <v>808</v>
      </c>
      <c r="D144" s="248">
        <v>5635928.350000008</v>
      </c>
      <c r="F144" t="str">
        <f t="shared" si="9"/>
        <v>598</v>
      </c>
      <c r="G144" t="b">
        <f t="shared" si="8"/>
        <v>1</v>
      </c>
      <c r="H144" s="254" t="s">
        <v>668</v>
      </c>
    </row>
    <row r="145" spans="1:8" ht="12.75">
      <c r="A145" t="str">
        <f t="shared" si="10"/>
        <v>DISTRIBUT</v>
      </c>
      <c r="B145" s="243" t="s">
        <v>646</v>
      </c>
      <c r="C145" s="245" t="s">
        <v>742</v>
      </c>
      <c r="D145" s="255">
        <v>323214347.11</v>
      </c>
      <c r="F145">
        <f t="shared" si="9"/>
      </c>
      <c r="G145" t="b">
        <f t="shared" si="8"/>
        <v>1</v>
      </c>
      <c r="H145" s="253" t="s">
        <v>646</v>
      </c>
    </row>
    <row r="146" spans="1:7" ht="12.75">
      <c r="A146">
        <f t="shared" si="10"/>
      </c>
      <c r="B146"/>
      <c r="C146" s="240"/>
      <c r="F146">
        <f t="shared" si="9"/>
      </c>
      <c r="G146" t="b">
        <f t="shared" si="8"/>
        <v>1</v>
      </c>
    </row>
    <row r="147" spans="1:8" ht="12.75">
      <c r="A147" t="str">
        <f t="shared" si="10"/>
        <v>CUSTOMER </v>
      </c>
      <c r="B147" s="243" t="s">
        <v>669</v>
      </c>
      <c r="C147" s="241"/>
      <c r="D147" s="248"/>
      <c r="F147">
        <f t="shared" si="9"/>
      </c>
      <c r="G147" t="b">
        <f t="shared" si="8"/>
        <v>1</v>
      </c>
      <c r="H147" s="253" t="s">
        <v>669</v>
      </c>
    </row>
    <row r="148" spans="1:8" ht="12.75">
      <c r="A148" t="str">
        <f t="shared" si="10"/>
        <v>INC401000</v>
      </c>
      <c r="B148" s="244" t="s">
        <v>670</v>
      </c>
      <c r="C148" s="241" t="s">
        <v>809</v>
      </c>
      <c r="D148" s="248">
        <v>6524268.250000001</v>
      </c>
      <c r="F148" t="str">
        <f t="shared" si="9"/>
        <v>901</v>
      </c>
      <c r="G148" t="b">
        <f t="shared" si="8"/>
        <v>1</v>
      </c>
      <c r="H148" s="254" t="s">
        <v>670</v>
      </c>
    </row>
    <row r="149" spans="1:8" ht="12.75">
      <c r="A149" t="str">
        <f t="shared" si="10"/>
        <v>INC402000</v>
      </c>
      <c r="B149" s="244" t="s">
        <v>671</v>
      </c>
      <c r="C149" s="241" t="s">
        <v>810</v>
      </c>
      <c r="D149" s="248">
        <v>12109453.75</v>
      </c>
      <c r="F149" t="str">
        <f t="shared" si="9"/>
        <v>902</v>
      </c>
      <c r="G149" t="b">
        <f t="shared" si="8"/>
        <v>1</v>
      </c>
      <c r="H149" s="254" t="s">
        <v>671</v>
      </c>
    </row>
    <row r="150" spans="1:8" ht="12.75">
      <c r="A150" t="str">
        <f t="shared" si="10"/>
        <v>INC403000</v>
      </c>
      <c r="B150" s="244" t="s">
        <v>672</v>
      </c>
      <c r="C150" s="241" t="s">
        <v>811</v>
      </c>
      <c r="D150" s="248">
        <v>83906718.95000003</v>
      </c>
      <c r="F150" t="str">
        <f t="shared" si="9"/>
        <v>903</v>
      </c>
      <c r="G150" t="b">
        <f t="shared" si="8"/>
        <v>1</v>
      </c>
      <c r="H150" s="254" t="s">
        <v>672</v>
      </c>
    </row>
    <row r="151" spans="1:8" ht="12.75">
      <c r="A151" t="str">
        <f t="shared" si="10"/>
        <v>INC404000</v>
      </c>
      <c r="B151" s="244" t="s">
        <v>673</v>
      </c>
      <c r="C151" s="241" t="s">
        <v>812</v>
      </c>
      <c r="D151" s="248">
        <v>7005084.550000001</v>
      </c>
      <c r="F151" t="str">
        <f t="shared" si="9"/>
        <v>904</v>
      </c>
      <c r="G151" t="b">
        <f t="shared" si="8"/>
        <v>1</v>
      </c>
      <c r="H151" s="254" t="s">
        <v>673</v>
      </c>
    </row>
    <row r="152" spans="1:8" ht="13.5" thickBot="1">
      <c r="A152" t="str">
        <f t="shared" si="10"/>
        <v>INC404151</v>
      </c>
      <c r="B152" s="244" t="s">
        <v>674</v>
      </c>
      <c r="C152" s="241" t="s">
        <v>812</v>
      </c>
      <c r="D152" s="248">
        <v>106531.84000000001</v>
      </c>
      <c r="F152" t="str">
        <f t="shared" si="9"/>
        <v>904</v>
      </c>
      <c r="G152" t="b">
        <f t="shared" si="8"/>
        <v>1</v>
      </c>
      <c r="H152" s="254" t="s">
        <v>674</v>
      </c>
    </row>
    <row r="153" spans="1:8" ht="12.75">
      <c r="A153" t="str">
        <f t="shared" si="10"/>
        <v>CUSTOMER </v>
      </c>
      <c r="B153" s="243" t="s">
        <v>669</v>
      </c>
      <c r="C153" s="245" t="s">
        <v>742</v>
      </c>
      <c r="D153" s="255">
        <v>109652057.34000003</v>
      </c>
      <c r="F153">
        <f t="shared" si="9"/>
      </c>
      <c r="G153" t="b">
        <f t="shared" si="8"/>
        <v>1</v>
      </c>
      <c r="H153" s="253" t="s">
        <v>669</v>
      </c>
    </row>
    <row r="154" spans="1:7" ht="12.75">
      <c r="A154">
        <f t="shared" si="10"/>
      </c>
      <c r="B154"/>
      <c r="C154" s="240"/>
      <c r="F154">
        <f t="shared" si="9"/>
      </c>
      <c r="G154" t="b">
        <f t="shared" si="8"/>
        <v>1</v>
      </c>
    </row>
    <row r="155" spans="1:8" ht="12.75">
      <c r="A155" t="str">
        <f t="shared" si="10"/>
        <v>CUSTOMER </v>
      </c>
      <c r="B155" s="243" t="s">
        <v>675</v>
      </c>
      <c r="C155" s="241"/>
      <c r="D155" s="248"/>
      <c r="F155">
        <f t="shared" si="9"/>
      </c>
      <c r="G155" t="b">
        <f t="shared" si="8"/>
        <v>1</v>
      </c>
      <c r="H155" s="253" t="s">
        <v>675</v>
      </c>
    </row>
    <row r="156" spans="1:8" ht="12.75">
      <c r="A156" t="str">
        <f t="shared" si="10"/>
        <v>INC407000</v>
      </c>
      <c r="B156" s="244" t="s">
        <v>676</v>
      </c>
      <c r="C156" s="241" t="s">
        <v>813</v>
      </c>
      <c r="D156" s="248">
        <v>2968640.69</v>
      </c>
      <c r="F156" t="str">
        <f t="shared" si="9"/>
        <v>907</v>
      </c>
      <c r="G156" t="b">
        <f t="shared" si="8"/>
        <v>1</v>
      </c>
      <c r="H156" s="254" t="s">
        <v>676</v>
      </c>
    </row>
    <row r="157" spans="1:8" ht="12.75">
      <c r="A157" t="str">
        <f t="shared" si="10"/>
        <v>INC407100</v>
      </c>
      <c r="B157" s="244" t="s">
        <v>677</v>
      </c>
      <c r="C157" s="241" t="s">
        <v>813</v>
      </c>
      <c r="D157" s="248">
        <v>5401976.2</v>
      </c>
      <c r="F157" t="str">
        <f t="shared" si="9"/>
        <v>907</v>
      </c>
      <c r="G157" t="b">
        <f t="shared" si="8"/>
        <v>1</v>
      </c>
      <c r="H157" s="254" t="s">
        <v>677</v>
      </c>
    </row>
    <row r="158" spans="1:8" ht="12.75">
      <c r="A158" t="str">
        <f t="shared" si="10"/>
        <v>INC408000</v>
      </c>
      <c r="B158" s="244" t="s">
        <v>678</v>
      </c>
      <c r="C158" s="241" t="s">
        <v>814</v>
      </c>
      <c r="D158" s="248">
        <v>2474392.62</v>
      </c>
      <c r="F158" t="str">
        <f t="shared" si="9"/>
        <v>908</v>
      </c>
      <c r="G158" t="b">
        <f t="shared" si="8"/>
        <v>1</v>
      </c>
      <c r="H158" s="254" t="s">
        <v>678</v>
      </c>
    </row>
    <row r="159" spans="1:8" ht="12.75">
      <c r="A159" t="str">
        <f t="shared" si="10"/>
        <v>INC408100</v>
      </c>
      <c r="B159" s="244" t="s">
        <v>679</v>
      </c>
      <c r="C159" s="241" t="s">
        <v>814</v>
      </c>
      <c r="D159" s="248">
        <v>34758159.00999999</v>
      </c>
      <c r="F159" t="str">
        <f t="shared" si="9"/>
        <v>908</v>
      </c>
      <c r="G159" t="b">
        <f t="shared" si="8"/>
        <v>1</v>
      </c>
      <c r="H159" s="254" t="s">
        <v>679</v>
      </c>
    </row>
    <row r="160" spans="1:8" ht="12.75">
      <c r="A160" t="str">
        <f t="shared" si="10"/>
        <v>INC409000</v>
      </c>
      <c r="B160" s="244" t="s">
        <v>680</v>
      </c>
      <c r="C160" s="241" t="s">
        <v>815</v>
      </c>
      <c r="D160" s="248">
        <v>82829.72</v>
      </c>
      <c r="F160" t="str">
        <f t="shared" si="9"/>
        <v>909</v>
      </c>
      <c r="G160" t="b">
        <f t="shared" si="8"/>
        <v>1</v>
      </c>
      <c r="H160" s="254" t="s">
        <v>680</v>
      </c>
    </row>
    <row r="161" spans="1:8" ht="12.75">
      <c r="A161" t="str">
        <f t="shared" si="10"/>
        <v>INC409100</v>
      </c>
      <c r="B161" s="244" t="s">
        <v>681</v>
      </c>
      <c r="C161" s="241" t="s">
        <v>815</v>
      </c>
      <c r="D161" s="248">
        <v>8789196.55</v>
      </c>
      <c r="F161" t="str">
        <f t="shared" si="9"/>
        <v>909</v>
      </c>
      <c r="G161" t="b">
        <f t="shared" si="8"/>
        <v>1</v>
      </c>
      <c r="H161" s="254" t="s">
        <v>681</v>
      </c>
    </row>
    <row r="162" spans="1:8" ht="12.75">
      <c r="A162" t="str">
        <f t="shared" si="10"/>
        <v>INC410000</v>
      </c>
      <c r="B162" s="244" t="s">
        <v>682</v>
      </c>
      <c r="C162" s="241" t="s">
        <v>816</v>
      </c>
      <c r="D162" s="248">
        <v>7939478.300000001</v>
      </c>
      <c r="F162" t="str">
        <f t="shared" si="9"/>
        <v>910</v>
      </c>
      <c r="G162" t="b">
        <f t="shared" si="8"/>
        <v>1</v>
      </c>
      <c r="H162" s="254" t="s">
        <v>682</v>
      </c>
    </row>
    <row r="163" spans="1:8" ht="13.5" thickBot="1">
      <c r="A163" t="str">
        <f t="shared" si="10"/>
        <v>INC410100</v>
      </c>
      <c r="B163" s="244" t="s">
        <v>683</v>
      </c>
      <c r="C163" s="241" t="s">
        <v>816</v>
      </c>
      <c r="D163" s="248">
        <v>3191613.83</v>
      </c>
      <c r="F163" t="str">
        <f t="shared" si="9"/>
        <v>910</v>
      </c>
      <c r="G163" t="b">
        <f t="shared" si="8"/>
        <v>1</v>
      </c>
      <c r="H163" s="254" t="s">
        <v>683</v>
      </c>
    </row>
    <row r="164" spans="1:8" ht="12.75">
      <c r="A164" t="str">
        <f t="shared" si="10"/>
        <v>CUSTOMER </v>
      </c>
      <c r="B164" s="243" t="s">
        <v>675</v>
      </c>
      <c r="C164" s="245" t="s">
        <v>742</v>
      </c>
      <c r="D164" s="255">
        <v>65606286.91999999</v>
      </c>
      <c r="F164">
        <f t="shared" si="9"/>
      </c>
      <c r="G164" t="b">
        <f t="shared" si="8"/>
        <v>1</v>
      </c>
      <c r="H164" s="253" t="s">
        <v>675</v>
      </c>
    </row>
    <row r="165" spans="1:7" ht="12.75">
      <c r="A165">
        <f t="shared" si="10"/>
      </c>
      <c r="B165"/>
      <c r="C165" s="240"/>
      <c r="F165">
        <f t="shared" si="9"/>
      </c>
      <c r="G165" t="b">
        <f t="shared" si="8"/>
        <v>1</v>
      </c>
    </row>
    <row r="166" spans="1:8" ht="12.75">
      <c r="A166" t="str">
        <f t="shared" si="10"/>
        <v>DEMONSTRA</v>
      </c>
      <c r="B166" s="243" t="s">
        <v>684</v>
      </c>
      <c r="C166" s="241"/>
      <c r="D166" s="248"/>
      <c r="F166">
        <f t="shared" si="9"/>
      </c>
      <c r="G166" t="b">
        <f t="shared" si="8"/>
        <v>1</v>
      </c>
      <c r="H166" s="253" t="s">
        <v>684</v>
      </c>
    </row>
    <row r="167" spans="1:8" ht="12.75">
      <c r="A167" t="str">
        <f t="shared" si="10"/>
        <v>INC411000</v>
      </c>
      <c r="B167" s="244" t="s">
        <v>685</v>
      </c>
      <c r="C167" s="241" t="s">
        <v>817</v>
      </c>
      <c r="D167" s="248">
        <v>0</v>
      </c>
      <c r="F167" t="str">
        <f t="shared" si="9"/>
        <v>911</v>
      </c>
      <c r="G167" t="b">
        <f t="shared" si="8"/>
        <v>1</v>
      </c>
      <c r="H167" s="254" t="s">
        <v>685</v>
      </c>
    </row>
    <row r="168" spans="1:8" ht="13.5" thickBot="1">
      <c r="A168" t="str">
        <f t="shared" si="10"/>
        <v>INC516000</v>
      </c>
      <c r="B168" s="244" t="s">
        <v>686</v>
      </c>
      <c r="C168" s="241" t="s">
        <v>818</v>
      </c>
      <c r="D168" s="248">
        <v>15746958.650000002</v>
      </c>
      <c r="F168" t="str">
        <f aca="true" t="shared" si="11" ref="F168:F200">LEFT(C168,3)</f>
        <v>916</v>
      </c>
      <c r="G168" t="b">
        <f t="shared" si="8"/>
        <v>1</v>
      </c>
      <c r="H168" s="254" t="s">
        <v>686</v>
      </c>
    </row>
    <row r="169" spans="1:8" ht="12.75">
      <c r="A169" t="str">
        <f t="shared" si="10"/>
        <v>DEMONSTRA</v>
      </c>
      <c r="B169" s="243" t="s">
        <v>684</v>
      </c>
      <c r="C169" s="245" t="s">
        <v>742</v>
      </c>
      <c r="D169" s="255">
        <v>15746958.650000002</v>
      </c>
      <c r="F169">
        <f t="shared" si="11"/>
      </c>
      <c r="G169" t="b">
        <f t="shared" si="8"/>
        <v>1</v>
      </c>
      <c r="H169" s="253" t="s">
        <v>684</v>
      </c>
    </row>
    <row r="170" spans="1:7" ht="12.75">
      <c r="A170">
        <f t="shared" si="10"/>
      </c>
      <c r="B170"/>
      <c r="C170" s="240"/>
      <c r="F170">
        <f t="shared" si="11"/>
      </c>
      <c r="G170" t="b">
        <f t="shared" si="8"/>
        <v>1</v>
      </c>
    </row>
    <row r="171" spans="1:8" ht="12.75">
      <c r="A171" t="str">
        <f t="shared" si="10"/>
        <v>ADMINISTR</v>
      </c>
      <c r="B171" s="243" t="s">
        <v>687</v>
      </c>
      <c r="C171" s="241"/>
      <c r="D171" s="248"/>
      <c r="F171">
        <f t="shared" si="11"/>
      </c>
      <c r="G171" t="b">
        <f t="shared" si="8"/>
        <v>1</v>
      </c>
      <c r="H171" s="253" t="s">
        <v>687</v>
      </c>
    </row>
    <row r="172" spans="1:8" ht="12.75">
      <c r="A172" t="str">
        <f t="shared" si="10"/>
        <v>INC520010</v>
      </c>
      <c r="B172" s="244" t="s">
        <v>688</v>
      </c>
      <c r="C172" s="241" t="s">
        <v>819</v>
      </c>
      <c r="D172" s="248">
        <v>217876456.16000044</v>
      </c>
      <c r="F172" t="str">
        <f t="shared" si="11"/>
        <v>920</v>
      </c>
      <c r="G172" t="b">
        <f t="shared" si="8"/>
        <v>1</v>
      </c>
      <c r="H172" s="254" t="s">
        <v>688</v>
      </c>
    </row>
    <row r="173" spans="1:8" ht="12.75">
      <c r="A173" t="str">
        <f t="shared" si="10"/>
        <v>INC521000</v>
      </c>
      <c r="B173" s="244" t="s">
        <v>689</v>
      </c>
      <c r="C173" s="241" t="s">
        <v>820</v>
      </c>
      <c r="D173" s="248">
        <v>45583242.32000003</v>
      </c>
      <c r="F173" t="str">
        <f t="shared" si="11"/>
        <v>921</v>
      </c>
      <c r="G173" t="b">
        <f t="shared" si="8"/>
        <v>1</v>
      </c>
      <c r="H173" s="254" t="s">
        <v>689</v>
      </c>
    </row>
    <row r="174" spans="1:8" ht="12.75">
      <c r="A174" t="str">
        <f t="shared" si="10"/>
        <v>INC521151</v>
      </c>
      <c r="B174" s="244" t="s">
        <v>690</v>
      </c>
      <c r="C174" s="241" t="s">
        <v>820</v>
      </c>
      <c r="D174" s="248">
        <v>515499.9999999999</v>
      </c>
      <c r="F174" t="str">
        <f t="shared" si="11"/>
        <v>921</v>
      </c>
      <c r="G174" t="b">
        <f t="shared" si="8"/>
        <v>1</v>
      </c>
      <c r="H174" s="254" t="s">
        <v>690</v>
      </c>
    </row>
    <row r="175" spans="1:8" ht="12.75">
      <c r="A175" t="str">
        <f t="shared" si="10"/>
        <v>INC522000</v>
      </c>
      <c r="B175" s="244" t="s">
        <v>691</v>
      </c>
      <c r="C175" s="241" t="s">
        <v>821</v>
      </c>
      <c r="D175" s="248">
        <v>-103067989.48000005</v>
      </c>
      <c r="F175" t="str">
        <f t="shared" si="11"/>
        <v>922</v>
      </c>
      <c r="G175" t="b">
        <f t="shared" si="8"/>
        <v>1</v>
      </c>
      <c r="H175" s="254" t="s">
        <v>691</v>
      </c>
    </row>
    <row r="176" spans="1:8" ht="12.75">
      <c r="A176" t="str">
        <f t="shared" si="10"/>
        <v>INC522151</v>
      </c>
      <c r="B176" s="244" t="s">
        <v>692</v>
      </c>
      <c r="C176" s="241" t="s">
        <v>821</v>
      </c>
      <c r="D176" s="248">
        <v>-450999.9999999999</v>
      </c>
      <c r="F176" t="str">
        <f t="shared" si="11"/>
        <v>922</v>
      </c>
      <c r="G176" t="b">
        <f t="shared" si="8"/>
        <v>1</v>
      </c>
      <c r="H176" s="254" t="s">
        <v>692</v>
      </c>
    </row>
    <row r="177" spans="1:8" ht="12.75">
      <c r="A177" t="str">
        <f t="shared" si="10"/>
        <v>INC523000</v>
      </c>
      <c r="B177" s="244" t="s">
        <v>693</v>
      </c>
      <c r="C177" s="241" t="s">
        <v>822</v>
      </c>
      <c r="D177" s="248">
        <v>41673686.33000001</v>
      </c>
      <c r="F177" t="str">
        <f t="shared" si="11"/>
        <v>923</v>
      </c>
      <c r="G177" t="b">
        <f t="shared" si="8"/>
        <v>1</v>
      </c>
      <c r="H177" s="254" t="s">
        <v>693</v>
      </c>
    </row>
    <row r="178" spans="1:8" ht="12.75">
      <c r="A178" t="str">
        <f t="shared" si="10"/>
        <v>INC523900</v>
      </c>
      <c r="B178" s="244" t="s">
        <v>694</v>
      </c>
      <c r="C178" s="241" t="s">
        <v>776</v>
      </c>
      <c r="D178" s="248">
        <v>1440060</v>
      </c>
      <c r="F178" t="str">
        <f t="shared" si="11"/>
        <v>NA </v>
      </c>
      <c r="G178" t="b">
        <f t="shared" si="8"/>
        <v>1</v>
      </c>
      <c r="H178" s="254" t="s">
        <v>694</v>
      </c>
    </row>
    <row r="179" spans="1:8" ht="12.75">
      <c r="A179" t="str">
        <f t="shared" si="10"/>
        <v>INC524000</v>
      </c>
      <c r="B179" s="244" t="s">
        <v>695</v>
      </c>
      <c r="C179" s="241" t="s">
        <v>823</v>
      </c>
      <c r="D179" s="248">
        <v>15579693.51</v>
      </c>
      <c r="F179" t="str">
        <f t="shared" si="11"/>
        <v>924</v>
      </c>
      <c r="G179" t="b">
        <f t="shared" si="8"/>
        <v>1</v>
      </c>
      <c r="H179" s="254" t="s">
        <v>695</v>
      </c>
    </row>
    <row r="180" spans="1:8" ht="12.75">
      <c r="A180" t="str">
        <f t="shared" si="10"/>
        <v>INC524100</v>
      </c>
      <c r="B180" s="244" t="s">
        <v>696</v>
      </c>
      <c r="C180" s="241" t="s">
        <v>823</v>
      </c>
      <c r="D180" s="248">
        <v>1176229.9200000002</v>
      </c>
      <c r="F180" t="str">
        <f t="shared" si="11"/>
        <v>924</v>
      </c>
      <c r="G180" t="b">
        <f t="shared" si="8"/>
        <v>1</v>
      </c>
      <c r="H180" s="254" t="s">
        <v>696</v>
      </c>
    </row>
    <row r="181" spans="1:8" ht="12.75">
      <c r="A181" t="str">
        <f t="shared" si="10"/>
        <v>INC524121</v>
      </c>
      <c r="B181" s="244" t="s">
        <v>697</v>
      </c>
      <c r="C181" s="241" t="s">
        <v>823</v>
      </c>
      <c r="D181" s="248">
        <v>482874.3899999999</v>
      </c>
      <c r="F181" t="str">
        <f t="shared" si="11"/>
        <v>924</v>
      </c>
      <c r="G181" t="b">
        <f t="shared" si="8"/>
        <v>1</v>
      </c>
      <c r="H181" s="254" t="s">
        <v>697</v>
      </c>
    </row>
    <row r="182" spans="1:8" ht="12.75">
      <c r="A182" t="str">
        <f t="shared" si="10"/>
        <v>INC524900</v>
      </c>
      <c r="B182" s="244" t="s">
        <v>698</v>
      </c>
      <c r="C182" s="241" t="s">
        <v>776</v>
      </c>
      <c r="D182" s="248">
        <v>0</v>
      </c>
      <c r="F182" t="str">
        <f t="shared" si="11"/>
        <v>NA </v>
      </c>
      <c r="G182" t="b">
        <f t="shared" si="8"/>
        <v>1</v>
      </c>
      <c r="H182" s="254" t="s">
        <v>698</v>
      </c>
    </row>
    <row r="183" spans="1:8" ht="12.75">
      <c r="A183" t="str">
        <f t="shared" si="10"/>
        <v>INC525000</v>
      </c>
      <c r="B183" s="244" t="s">
        <v>699</v>
      </c>
      <c r="C183" s="241" t="s">
        <v>824</v>
      </c>
      <c r="D183" s="248">
        <v>28589507.36</v>
      </c>
      <c r="F183" t="str">
        <f t="shared" si="11"/>
        <v>925</v>
      </c>
      <c r="G183" t="b">
        <f t="shared" si="8"/>
        <v>1</v>
      </c>
      <c r="H183" s="254" t="s">
        <v>699</v>
      </c>
    </row>
    <row r="184" spans="1:8" ht="12.75">
      <c r="A184" t="str">
        <f t="shared" si="10"/>
        <v>INC525100</v>
      </c>
      <c r="B184" s="244" t="s">
        <v>700</v>
      </c>
      <c r="C184" s="241" t="s">
        <v>824</v>
      </c>
      <c r="D184" s="248">
        <v>764747.7200000001</v>
      </c>
      <c r="F184" t="str">
        <f t="shared" si="11"/>
        <v>925</v>
      </c>
      <c r="G184" t="b">
        <f t="shared" si="8"/>
        <v>1</v>
      </c>
      <c r="H184" s="254" t="s">
        <v>700</v>
      </c>
    </row>
    <row r="185" spans="1:8" ht="12.75">
      <c r="A185" t="str">
        <f t="shared" si="10"/>
        <v>INC525101</v>
      </c>
      <c r="B185" s="244" t="s">
        <v>701</v>
      </c>
      <c r="C185" s="241" t="s">
        <v>824</v>
      </c>
      <c r="D185" s="248">
        <v>0</v>
      </c>
      <c r="F185" t="str">
        <f t="shared" si="11"/>
        <v>925</v>
      </c>
      <c r="G185" t="b">
        <f t="shared" si="8"/>
        <v>1</v>
      </c>
      <c r="H185" s="254" t="s">
        <v>701</v>
      </c>
    </row>
    <row r="186" spans="1:8" ht="12.75">
      <c r="A186" t="str">
        <f t="shared" si="10"/>
        <v>INC525106</v>
      </c>
      <c r="B186" s="244" t="s">
        <v>702</v>
      </c>
      <c r="C186" s="241" t="s">
        <v>824</v>
      </c>
      <c r="D186" s="248">
        <v>180.38000000000002</v>
      </c>
      <c r="F186" t="str">
        <f t="shared" si="11"/>
        <v>925</v>
      </c>
      <c r="G186" t="b">
        <f t="shared" si="8"/>
        <v>1</v>
      </c>
      <c r="H186" s="254" t="s">
        <v>702</v>
      </c>
    </row>
    <row r="187" spans="1:8" ht="12.75">
      <c r="A187" t="str">
        <f t="shared" si="10"/>
        <v>INC525110</v>
      </c>
      <c r="B187" s="244" t="s">
        <v>703</v>
      </c>
      <c r="C187" s="241" t="s">
        <v>824</v>
      </c>
      <c r="D187" s="248">
        <v>106686.41000000002</v>
      </c>
      <c r="F187" t="str">
        <f t="shared" si="11"/>
        <v>925</v>
      </c>
      <c r="G187" t="b">
        <f t="shared" si="8"/>
        <v>1</v>
      </c>
      <c r="H187" s="254" t="s">
        <v>703</v>
      </c>
    </row>
    <row r="188" spans="1:8" ht="12.75">
      <c r="A188" t="str">
        <f t="shared" si="10"/>
        <v>INC525120</v>
      </c>
      <c r="B188" s="244" t="s">
        <v>704</v>
      </c>
      <c r="C188" s="241" t="s">
        <v>824</v>
      </c>
      <c r="D188" s="248">
        <v>13060.719999999998</v>
      </c>
      <c r="F188" t="str">
        <f t="shared" si="11"/>
        <v>925</v>
      </c>
      <c r="G188" t="b">
        <f t="shared" si="8"/>
        <v>1</v>
      </c>
      <c r="H188" s="254" t="s">
        <v>704</v>
      </c>
    </row>
    <row r="189" spans="1:8" ht="12.75">
      <c r="A189" t="str">
        <f t="shared" si="10"/>
        <v>INC526100</v>
      </c>
      <c r="B189" s="244" t="s">
        <v>705</v>
      </c>
      <c r="C189" s="241" t="s">
        <v>825</v>
      </c>
      <c r="D189" s="248">
        <v>61766103.47999996</v>
      </c>
      <c r="F189" t="str">
        <f t="shared" si="11"/>
        <v>926</v>
      </c>
      <c r="G189" t="b">
        <f t="shared" si="8"/>
        <v>1</v>
      </c>
      <c r="H189" s="254" t="s">
        <v>705</v>
      </c>
    </row>
    <row r="190" spans="1:8" ht="12.75">
      <c r="A190" t="str">
        <f t="shared" si="10"/>
        <v>INC526110</v>
      </c>
      <c r="B190" s="244" t="s">
        <v>706</v>
      </c>
      <c r="C190" s="241" t="s">
        <v>825</v>
      </c>
      <c r="D190" s="248">
        <v>30246.100000000006</v>
      </c>
      <c r="F190" t="str">
        <f t="shared" si="11"/>
        <v>926</v>
      </c>
      <c r="G190" t="b">
        <f t="shared" si="8"/>
        <v>1</v>
      </c>
      <c r="H190" s="254" t="s">
        <v>706</v>
      </c>
    </row>
    <row r="191" spans="1:8" ht="12.75">
      <c r="A191" t="str">
        <f t="shared" si="10"/>
        <v>INC526120</v>
      </c>
      <c r="B191" s="244" t="s">
        <v>707</v>
      </c>
      <c r="C191" s="241" t="s">
        <v>825</v>
      </c>
      <c r="D191" s="248">
        <v>233483.54000000004</v>
      </c>
      <c r="F191" t="str">
        <f t="shared" si="11"/>
        <v>926</v>
      </c>
      <c r="G191" t="b">
        <f t="shared" si="8"/>
        <v>1</v>
      </c>
      <c r="H191" s="254" t="s">
        <v>707</v>
      </c>
    </row>
    <row r="192" spans="1:8" ht="12.75">
      <c r="A192" t="str">
        <f t="shared" si="10"/>
        <v>INC526130</v>
      </c>
      <c r="B192" s="244" t="s">
        <v>708</v>
      </c>
      <c r="C192" s="241" t="s">
        <v>825</v>
      </c>
      <c r="D192" s="248">
        <v>229590.92000000004</v>
      </c>
      <c r="F192" t="str">
        <f t="shared" si="11"/>
        <v>926</v>
      </c>
      <c r="G192" t="b">
        <f t="shared" si="8"/>
        <v>1</v>
      </c>
      <c r="H192" s="254" t="s">
        <v>708</v>
      </c>
    </row>
    <row r="193" spans="1:8" ht="12.75">
      <c r="A193" t="str">
        <f t="shared" si="10"/>
        <v>INC526131</v>
      </c>
      <c r="B193" s="244" t="s">
        <v>709</v>
      </c>
      <c r="C193" s="241" t="s">
        <v>825</v>
      </c>
      <c r="D193" s="248">
        <v>0</v>
      </c>
      <c r="F193" t="str">
        <f t="shared" si="11"/>
        <v>926</v>
      </c>
      <c r="G193" t="b">
        <f t="shared" si="8"/>
        <v>1</v>
      </c>
      <c r="H193" s="254" t="s">
        <v>709</v>
      </c>
    </row>
    <row r="194" spans="1:8" ht="12.75">
      <c r="A194" t="str">
        <f t="shared" si="10"/>
        <v>INC526211</v>
      </c>
      <c r="B194" s="244" t="s">
        <v>710</v>
      </c>
      <c r="C194" s="241" t="s">
        <v>825</v>
      </c>
      <c r="D194" s="248">
        <v>1647112.6900000004</v>
      </c>
      <c r="F194" t="str">
        <f t="shared" si="11"/>
        <v>926</v>
      </c>
      <c r="G194" t="b">
        <f t="shared" si="8"/>
        <v>1</v>
      </c>
      <c r="H194" s="254" t="s">
        <v>710</v>
      </c>
    </row>
    <row r="195" spans="1:8" ht="12.75">
      <c r="A195" t="str">
        <f t="shared" si="10"/>
        <v>INC526650</v>
      </c>
      <c r="B195" s="244" t="s">
        <v>711</v>
      </c>
      <c r="C195" s="241" t="s">
        <v>825</v>
      </c>
      <c r="D195" s="248">
        <v>0</v>
      </c>
      <c r="F195" t="str">
        <f t="shared" si="11"/>
        <v>926</v>
      </c>
      <c r="G195" t="b">
        <f t="shared" si="8"/>
        <v>1</v>
      </c>
      <c r="H195" s="254" t="s">
        <v>711</v>
      </c>
    </row>
    <row r="196" spans="1:8" ht="12.75">
      <c r="A196" t="str">
        <f t="shared" si="10"/>
        <v>INC528010</v>
      </c>
      <c r="B196" s="244" t="s">
        <v>712</v>
      </c>
      <c r="C196" s="241" t="s">
        <v>826</v>
      </c>
      <c r="D196" s="248">
        <v>1786035.1400000001</v>
      </c>
      <c r="F196" t="str">
        <f t="shared" si="11"/>
        <v>928</v>
      </c>
      <c r="G196" t="b">
        <f t="shared" si="8"/>
        <v>1</v>
      </c>
      <c r="H196" s="254" t="s">
        <v>712</v>
      </c>
    </row>
    <row r="197" spans="1:8" ht="12.75">
      <c r="A197" t="str">
        <f t="shared" si="10"/>
        <v>INC528020</v>
      </c>
      <c r="B197" s="244" t="s">
        <v>713</v>
      </c>
      <c r="C197" s="241" t="s">
        <v>826</v>
      </c>
      <c r="D197" s="248">
        <v>5396.849999999999</v>
      </c>
      <c r="F197" t="str">
        <f t="shared" si="11"/>
        <v>928</v>
      </c>
      <c r="G197" t="b">
        <f t="shared" si="8"/>
        <v>1</v>
      </c>
      <c r="H197" s="254" t="s">
        <v>713</v>
      </c>
    </row>
    <row r="198" spans="1:8" ht="12.75">
      <c r="A198" t="str">
        <f t="shared" si="10"/>
        <v>INC528100</v>
      </c>
      <c r="B198" s="244" t="s">
        <v>714</v>
      </c>
      <c r="C198" s="241" t="s">
        <v>826</v>
      </c>
      <c r="D198" s="248">
        <v>359790</v>
      </c>
      <c r="F198" t="str">
        <f t="shared" si="11"/>
        <v>928</v>
      </c>
      <c r="G198" t="b">
        <f>H198=B198</f>
        <v>1</v>
      </c>
      <c r="H198" s="254" t="s">
        <v>714</v>
      </c>
    </row>
    <row r="199" spans="1:8" ht="12.75">
      <c r="A199" t="str">
        <f t="shared" si="10"/>
        <v>INC529100</v>
      </c>
      <c r="B199" s="244" t="s">
        <v>715</v>
      </c>
      <c r="C199" s="241" t="s">
        <v>827</v>
      </c>
      <c r="D199" s="248">
        <v>0</v>
      </c>
      <c r="F199" t="str">
        <f t="shared" si="11"/>
        <v>929</v>
      </c>
      <c r="G199" t="b">
        <f>H199=B199</f>
        <v>1</v>
      </c>
      <c r="H199" s="254" t="s">
        <v>715</v>
      </c>
    </row>
    <row r="200" spans="1:8" ht="12.75">
      <c r="A200" t="str">
        <f t="shared" si="10"/>
        <v>INC530000</v>
      </c>
      <c r="B200" s="244" t="s">
        <v>716</v>
      </c>
      <c r="C200" s="241" t="s">
        <v>828</v>
      </c>
      <c r="D200" s="248">
        <v>13804789.930000003</v>
      </c>
      <c r="F200" t="str">
        <f t="shared" si="11"/>
        <v>930</v>
      </c>
      <c r="G200" t="b">
        <f>H200=B200</f>
        <v>1</v>
      </c>
      <c r="H200" s="254" t="s">
        <v>716</v>
      </c>
    </row>
    <row r="201" spans="1:8" ht="12.75">
      <c r="A201" t="str">
        <f aca="true" t="shared" si="12" ref="A201:A206">LEFT(B201,9)</f>
        <v>INC530002</v>
      </c>
      <c r="B201" s="244" t="s">
        <v>717</v>
      </c>
      <c r="C201" s="241" t="s">
        <v>828</v>
      </c>
      <c r="D201" s="248">
        <v>0</v>
      </c>
      <c r="F201" t="str">
        <f aca="true" t="shared" si="13" ref="F201:F206">LEFT(C201,3)</f>
        <v>930</v>
      </c>
      <c r="G201" t="b">
        <f>H201=B201</f>
        <v>1</v>
      </c>
      <c r="H201" s="254" t="s">
        <v>717</v>
      </c>
    </row>
    <row r="202" spans="1:8" ht="12.75">
      <c r="A202" t="str">
        <f t="shared" si="12"/>
        <v>INC531000</v>
      </c>
      <c r="B202" s="244" t="s">
        <v>718</v>
      </c>
      <c r="C202" s="241" t="s">
        <v>829</v>
      </c>
      <c r="D202" s="248">
        <v>10270107.38</v>
      </c>
      <c r="F202" t="str">
        <f t="shared" si="13"/>
        <v>931</v>
      </c>
      <c r="G202" t="b">
        <f>H202=B202</f>
        <v>1</v>
      </c>
      <c r="H202" s="254" t="s">
        <v>718</v>
      </c>
    </row>
    <row r="203" spans="1:8" ht="13.5" thickBot="1">
      <c r="A203" t="str">
        <f t="shared" si="12"/>
        <v>INC535000</v>
      </c>
      <c r="B203" s="244" t="s">
        <v>719</v>
      </c>
      <c r="C203" s="241" t="s">
        <v>830</v>
      </c>
      <c r="D203" s="248">
        <v>14605582.589999994</v>
      </c>
      <c r="F203" t="str">
        <f t="shared" si="13"/>
        <v>935</v>
      </c>
      <c r="G203" t="b">
        <f>H203=B203</f>
        <v>1</v>
      </c>
      <c r="H203" s="254" t="s">
        <v>719</v>
      </c>
    </row>
    <row r="204" spans="1:8" ht="12.75">
      <c r="A204" t="str">
        <f t="shared" si="12"/>
        <v>ADMINISTR</v>
      </c>
      <c r="B204" s="243" t="s">
        <v>687</v>
      </c>
      <c r="C204" s="245" t="s">
        <v>742</v>
      </c>
      <c r="D204" s="255">
        <v>355021174.36000043</v>
      </c>
      <c r="F204">
        <f t="shared" si="13"/>
      </c>
      <c r="G204" t="b">
        <f>H204=B204</f>
        <v>1</v>
      </c>
      <c r="H204" s="253" t="s">
        <v>687</v>
      </c>
    </row>
    <row r="205" spans="1:8" ht="15.75" thickBot="1">
      <c r="A205">
        <f t="shared" si="12"/>
      </c>
      <c r="B205" s="239"/>
      <c r="C205" s="239"/>
      <c r="D205" s="239"/>
      <c r="F205">
        <f t="shared" si="13"/>
      </c>
      <c r="G205" t="b">
        <f>H205=B205</f>
        <v>1</v>
      </c>
      <c r="H205" s="239"/>
    </row>
    <row r="206" spans="1:8" ht="409.5">
      <c r="A206" t="str">
        <f t="shared" si="12"/>
        <v>TOTAL O&amp;M</v>
      </c>
      <c r="B206" s="242" t="s">
        <v>538</v>
      </c>
      <c r="C206" s="245" t="s">
        <v>742</v>
      </c>
      <c r="D206" s="255">
        <v>5190939957.350161</v>
      </c>
      <c r="F206">
        <f t="shared" si="13"/>
      </c>
      <c r="G206" t="b">
        <f>H206=B206</f>
        <v>1</v>
      </c>
      <c r="H206" s="252" t="s">
        <v>538</v>
      </c>
    </row>
    <row r="207" spans="2:4" ht="15" customHeight="1">
      <c r="B207" s="211"/>
      <c r="C207" s="212"/>
      <c r="D207" s="192"/>
    </row>
  </sheetData>
  <sheetProtection/>
  <mergeCells count="2">
    <mergeCell ref="C4:C5"/>
    <mergeCell ref="B4:B5"/>
  </mergeCells>
  <printOptions/>
  <pageMargins left="0.75" right="0.75" top="1" bottom="1" header="0.5" footer="0.5"/>
  <pageSetup horizontalDpi="600" verticalDpi="600" orientation="landscape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B42"/>
  <sheetViews>
    <sheetView showGridLines="0" zoomScalePageLayoutView="0" workbookViewId="0" topLeftCell="A1">
      <pane xSplit="1" ySplit="4" topLeftCell="B5" activePane="bottomRight" state="frozen"/>
      <selection pane="topLeft" activeCell="I25" sqref="I25"/>
      <selection pane="topRight" activeCell="I25" sqref="I25"/>
      <selection pane="bottomLeft" activeCell="I25" sqref="I25"/>
      <selection pane="bottomRight" activeCell="A2" sqref="A1:A2"/>
    </sheetView>
  </sheetViews>
  <sheetFormatPr defaultColWidth="9.140625" defaultRowHeight="12.75"/>
  <cols>
    <col min="1" max="1" width="98.57421875" style="0" bestFit="1" customWidth="1"/>
    <col min="2" max="2" width="15.00390625" style="0" bestFit="1" customWidth="1"/>
  </cols>
  <sheetData>
    <row r="1" ht="15">
      <c r="A1" s="268" t="s">
        <v>1126</v>
      </c>
    </row>
    <row r="2" ht="15">
      <c r="A2" s="268" t="s">
        <v>1116</v>
      </c>
    </row>
    <row r="3" ht="13.5" thickBot="1"/>
    <row r="4" spans="1:2" ht="13.5" thickBot="1">
      <c r="A4" s="258" t="s">
        <v>1096</v>
      </c>
      <c r="B4" s="258" t="s">
        <v>536</v>
      </c>
    </row>
    <row r="5" spans="1:2" ht="12.75">
      <c r="A5" s="256" t="s">
        <v>720</v>
      </c>
      <c r="B5" s="248"/>
    </row>
    <row r="6" spans="1:2" ht="12.75">
      <c r="A6" s="257" t="s">
        <v>721</v>
      </c>
      <c r="B6" s="248"/>
    </row>
    <row r="7" spans="1:2" ht="12.75">
      <c r="A7" s="249" t="s">
        <v>1097</v>
      </c>
      <c r="B7" s="248">
        <v>-203983.76</v>
      </c>
    </row>
    <row r="8" spans="1:2" ht="12.75">
      <c r="A8" s="249" t="s">
        <v>1098</v>
      </c>
      <c r="B8" s="248">
        <v>67467.62862000002</v>
      </c>
    </row>
    <row r="9" spans="1:2" ht="13.5" thickBot="1">
      <c r="A9" s="249" t="s">
        <v>1099</v>
      </c>
      <c r="B9" s="248">
        <v>11219.1068</v>
      </c>
    </row>
    <row r="10" spans="1:2" ht="13.5" thickBot="1">
      <c r="A10" s="250" t="s">
        <v>721</v>
      </c>
      <c r="B10" s="251">
        <v>-125297.02457999998</v>
      </c>
    </row>
    <row r="11" spans="1:2" ht="12.75">
      <c r="A11" s="249"/>
      <c r="B11" s="248"/>
    </row>
    <row r="12" spans="1:2" ht="12.75">
      <c r="A12" s="257" t="s">
        <v>722</v>
      </c>
      <c r="B12" s="248"/>
    </row>
    <row r="13" spans="1:2" ht="12.75">
      <c r="A13" s="249" t="s">
        <v>1100</v>
      </c>
      <c r="B13" s="248">
        <v>-123556.61349999996</v>
      </c>
    </row>
    <row r="14" spans="1:2" ht="12.75">
      <c r="A14" s="249" t="s">
        <v>1101</v>
      </c>
      <c r="B14" s="248">
        <v>40866.349915125</v>
      </c>
    </row>
    <row r="15" spans="1:2" ht="13.5" thickBot="1">
      <c r="A15" s="249" t="s">
        <v>1102</v>
      </c>
      <c r="B15" s="248">
        <v>6795.6137425000015</v>
      </c>
    </row>
    <row r="16" spans="1:2" ht="13.5" thickBot="1">
      <c r="A16" s="250" t="s">
        <v>722</v>
      </c>
      <c r="B16" s="251">
        <v>-75894.64984237496</v>
      </c>
    </row>
    <row r="17" spans="1:2" ht="12.75">
      <c r="A17" s="249"/>
      <c r="B17" s="248"/>
    </row>
    <row r="18" spans="1:2" ht="12.75">
      <c r="A18" s="257" t="s">
        <v>723</v>
      </c>
      <c r="B18" s="248"/>
    </row>
    <row r="19" spans="1:2" ht="12.75">
      <c r="A19" s="249" t="s">
        <v>1103</v>
      </c>
      <c r="B19" s="248">
        <v>-27519068.815182313</v>
      </c>
    </row>
    <row r="20" spans="1:2" ht="12.75">
      <c r="A20" s="249" t="s">
        <v>1104</v>
      </c>
      <c r="B20" s="248">
        <v>9101932.01062155</v>
      </c>
    </row>
    <row r="21" spans="1:2" ht="13.5" thickBot="1">
      <c r="A21" s="249" t="s">
        <v>1105</v>
      </c>
      <c r="B21" s="248">
        <v>1513548.7848350275</v>
      </c>
    </row>
    <row r="22" spans="1:2" ht="13.5" thickBot="1">
      <c r="A22" s="250" t="s">
        <v>723</v>
      </c>
      <c r="B22" s="251">
        <v>-16903588.01972574</v>
      </c>
    </row>
    <row r="23" spans="1:2" ht="12.75">
      <c r="A23" s="249"/>
      <c r="B23" s="248"/>
    </row>
    <row r="24" spans="1:2" ht="12.75">
      <c r="A24" s="257" t="s">
        <v>724</v>
      </c>
      <c r="B24" s="248"/>
    </row>
    <row r="25" spans="1:2" ht="12.75">
      <c r="A25" s="249" t="s">
        <v>1106</v>
      </c>
      <c r="B25" s="248">
        <v>-437982.57</v>
      </c>
    </row>
    <row r="26" spans="1:2" ht="12.75">
      <c r="A26" s="249" t="s">
        <v>1107</v>
      </c>
      <c r="B26" s="248">
        <v>144862.73502750005</v>
      </c>
    </row>
    <row r="27" spans="1:2" ht="13.5" thickBot="1">
      <c r="A27" s="249" t="s">
        <v>1108</v>
      </c>
      <c r="B27" s="248">
        <v>24089.041350000003</v>
      </c>
    </row>
    <row r="28" spans="1:2" ht="13.5" thickBot="1">
      <c r="A28" s="250" t="s">
        <v>724</v>
      </c>
      <c r="B28" s="251">
        <v>-269030.7936225</v>
      </c>
    </row>
    <row r="29" spans="1:2" ht="12.75">
      <c r="A29" s="249"/>
      <c r="B29" s="248"/>
    </row>
    <row r="30" spans="1:2" ht="12.75">
      <c r="A30" s="257" t="s">
        <v>725</v>
      </c>
      <c r="B30" s="248"/>
    </row>
    <row r="31" spans="1:2" ht="12.75">
      <c r="A31" s="249" t="s">
        <v>1109</v>
      </c>
      <c r="B31" s="248">
        <v>-2114537.1500000004</v>
      </c>
    </row>
    <row r="32" spans="1:2" ht="12.75">
      <c r="A32" s="249" t="s">
        <v>1110</v>
      </c>
      <c r="B32" s="248">
        <v>699383.1623625001</v>
      </c>
    </row>
    <row r="33" spans="1:2" ht="13.5" thickBot="1">
      <c r="A33" s="249" t="s">
        <v>1111</v>
      </c>
      <c r="B33" s="248">
        <v>116299.54325000005</v>
      </c>
    </row>
    <row r="34" spans="1:2" ht="13.5" thickBot="1">
      <c r="A34" s="250" t="s">
        <v>725</v>
      </c>
      <c r="B34" s="251">
        <v>-1298854.4443875002</v>
      </c>
    </row>
    <row r="35" spans="1:2" ht="12.75">
      <c r="A35" s="249"/>
      <c r="B35" s="248"/>
    </row>
    <row r="36" spans="1:2" ht="12.75">
      <c r="A36" s="257" t="s">
        <v>726</v>
      </c>
      <c r="B36" s="248"/>
    </row>
    <row r="37" spans="1:2" ht="12.75">
      <c r="A37" s="249" t="s">
        <v>1112</v>
      </c>
      <c r="B37" s="248">
        <v>-61816.71999999999</v>
      </c>
    </row>
    <row r="38" spans="1:2" ht="12.75">
      <c r="A38" s="249" t="s">
        <v>1113</v>
      </c>
      <c r="B38" s="248">
        <v>20445.880139999997</v>
      </c>
    </row>
    <row r="39" spans="1:2" ht="13.5" thickBot="1">
      <c r="A39" s="249" t="s">
        <v>1114</v>
      </c>
      <c r="B39" s="248">
        <v>3399.9195999999997</v>
      </c>
    </row>
    <row r="40" spans="1:2" ht="13.5" thickBot="1">
      <c r="A40" s="250" t="s">
        <v>726</v>
      </c>
      <c r="B40" s="251">
        <v>-37970.92025999999</v>
      </c>
    </row>
    <row r="41" ht="6.75" customHeight="1"/>
    <row r="42" ht="12.75">
      <c r="B42" s="246">
        <f>B7+B13+B19+B25+B31+B37</f>
        <v>-30460945.628682315</v>
      </c>
    </row>
  </sheetData>
  <sheetProtection/>
  <printOptions/>
  <pageMargins left="0.75" right="0.75" top="1" bottom="1" header="0.5" footer="0.5"/>
  <pageSetup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2.7109375" style="21" customWidth="1"/>
    <col min="2" max="2" width="14.7109375" style="25" customWidth="1"/>
    <col min="3" max="3" width="12.7109375" style="21" customWidth="1"/>
    <col min="4" max="6" width="14.7109375" style="25" customWidth="1"/>
    <col min="7" max="16384" width="9.140625" style="21" customWidth="1"/>
  </cols>
  <sheetData>
    <row r="1" ht="9.75">
      <c r="A1" s="8" t="s">
        <v>333</v>
      </c>
    </row>
    <row r="2" spans="1:6" ht="9.75">
      <c r="A2" s="21" t="s">
        <v>210</v>
      </c>
      <c r="B2" s="23"/>
      <c r="D2" s="23"/>
      <c r="E2" s="23"/>
      <c r="F2" s="23"/>
    </row>
    <row r="3" spans="1:6" ht="30.75" thickBot="1">
      <c r="A3" s="22" t="s">
        <v>234</v>
      </c>
      <c r="B3" s="22" t="s">
        <v>241</v>
      </c>
      <c r="C3" s="22" t="s">
        <v>263</v>
      </c>
      <c r="D3" s="22" t="s">
        <v>332</v>
      </c>
      <c r="E3" s="22" t="s">
        <v>359</v>
      </c>
      <c r="F3" s="22" t="s">
        <v>360</v>
      </c>
    </row>
    <row r="4" spans="2:6" ht="9.75">
      <c r="B4" s="24"/>
      <c r="D4" s="24"/>
      <c r="E4" s="24"/>
      <c r="F4" s="24"/>
    </row>
    <row r="5" spans="1:6" ht="9.75">
      <c r="A5" s="21" t="s">
        <v>236</v>
      </c>
      <c r="B5" s="23">
        <f>'2010 BM Detail'!I24/1000</f>
        <v>126690.69710917003</v>
      </c>
      <c r="C5" s="35" t="e">
        <f>#REF!</f>
        <v>#REF!</v>
      </c>
      <c r="D5" s="23" t="e">
        <f>B5*C5</f>
        <v>#REF!</v>
      </c>
      <c r="E5" s="23">
        <f>'2013 BM Detail'!G27/1000</f>
        <v>85366.025</v>
      </c>
      <c r="F5" s="10" t="e">
        <f>E5-D5</f>
        <v>#REF!</v>
      </c>
    </row>
    <row r="6" spans="2:6" ht="9.75">
      <c r="B6" s="23"/>
      <c r="C6" s="31"/>
      <c r="D6" s="23"/>
      <c r="E6" s="23"/>
      <c r="F6" s="10"/>
    </row>
    <row r="7" spans="1:6" ht="9.75">
      <c r="A7" s="21" t="s">
        <v>237</v>
      </c>
      <c r="B7" s="23">
        <f>'2010 BM Detail'!I52/1000</f>
        <v>413343.39486595</v>
      </c>
      <c r="C7" s="35" t="e">
        <f>#REF!</f>
        <v>#REF!</v>
      </c>
      <c r="D7" s="23" t="e">
        <f>B7*C7</f>
        <v>#REF!</v>
      </c>
      <c r="E7" s="23">
        <f>'2013 BM Detail'!G57/1000</f>
        <v>406556.71379000007</v>
      </c>
      <c r="F7" s="10" t="e">
        <f>E7-D7</f>
        <v>#REF!</v>
      </c>
    </row>
    <row r="8" spans="2:6" ht="9.75">
      <c r="B8" s="23"/>
      <c r="C8" s="31"/>
      <c r="D8" s="23"/>
      <c r="E8" s="23"/>
      <c r="F8" s="10"/>
    </row>
    <row r="9" spans="1:6" ht="9.75">
      <c r="A9" s="21" t="s">
        <v>52</v>
      </c>
      <c r="B9" s="23">
        <f>'2010 BM Detail'!I71/1000</f>
        <v>91968.76618292</v>
      </c>
      <c r="C9" s="35" t="e">
        <f>#REF!</f>
        <v>#REF!</v>
      </c>
      <c r="D9" s="23" t="e">
        <f>B9*C9</f>
        <v>#REF!</v>
      </c>
      <c r="E9" s="23">
        <f>'2013 BM Detail'!G81/1000</f>
        <v>161143.40494</v>
      </c>
      <c r="F9" s="10" t="e">
        <f>E9-D9</f>
        <v>#REF!</v>
      </c>
    </row>
    <row r="10" spans="2:6" ht="9.75">
      <c r="B10" s="23"/>
      <c r="C10" s="31"/>
      <c r="D10" s="23"/>
      <c r="E10" s="23"/>
      <c r="F10" s="10"/>
    </row>
    <row r="11" spans="1:6" ht="9.75">
      <c r="A11" s="21" t="s">
        <v>70</v>
      </c>
      <c r="B11" s="23">
        <f>'2010 BM Detail'!I85/1000</f>
        <v>6688.09152425</v>
      </c>
      <c r="C11" s="35" t="e">
        <f>#REF!</f>
        <v>#REF!</v>
      </c>
      <c r="D11" s="23" t="e">
        <f>B11*C11</f>
        <v>#REF!</v>
      </c>
      <c r="E11" s="23">
        <f>'2013 BM Detail'!G93/1000</f>
        <v>6299.19356</v>
      </c>
      <c r="F11" s="10" t="e">
        <f>E11-D11</f>
        <v>#REF!</v>
      </c>
    </row>
    <row r="12" spans="2:6" ht="9.75">
      <c r="B12" s="23"/>
      <c r="C12" s="31"/>
      <c r="D12" s="23"/>
      <c r="E12" s="23"/>
      <c r="F12" s="10"/>
    </row>
    <row r="13" spans="1:6" ht="9.75">
      <c r="A13" s="21" t="s">
        <v>83</v>
      </c>
      <c r="B13" s="23">
        <f>'2010 BM Detail'!I108/1000</f>
        <v>53197.51084501</v>
      </c>
      <c r="C13" s="35" t="e">
        <f>#REF!</f>
        <v>#REF!</v>
      </c>
      <c r="D13" s="23" t="e">
        <f>B13*C13</f>
        <v>#REF!</v>
      </c>
      <c r="E13" s="23">
        <f>'2013 BM Detail'!G117/1000</f>
        <v>47189.46297000001</v>
      </c>
      <c r="F13" s="10" t="e">
        <f>E13-D13</f>
        <v>#REF!</v>
      </c>
    </row>
    <row r="14" spans="2:6" ht="9.75">
      <c r="B14" s="23"/>
      <c r="C14" s="31"/>
      <c r="D14" s="23"/>
      <c r="E14" s="23"/>
      <c r="F14" s="10"/>
    </row>
    <row r="15" spans="1:6" ht="9.75">
      <c r="A15" s="21" t="s">
        <v>105</v>
      </c>
      <c r="B15" s="23">
        <f>'2010 BM Detail'!I133/1000</f>
        <v>274026.78635445994</v>
      </c>
      <c r="C15" s="35" t="e">
        <f>#REF!</f>
        <v>#REF!</v>
      </c>
      <c r="D15" s="23" t="e">
        <f>B15*C15</f>
        <v>#REF!</v>
      </c>
      <c r="E15" s="23">
        <f>'2013 BM Detail'!G142/1000</f>
        <v>286662.71492999996</v>
      </c>
      <c r="F15" s="10" t="e">
        <f>E15-D15</f>
        <v>#REF!</v>
      </c>
    </row>
    <row r="16" spans="2:6" ht="9.75">
      <c r="B16" s="23"/>
      <c r="C16" s="31"/>
      <c r="D16" s="23"/>
      <c r="E16" s="23"/>
      <c r="F16" s="10"/>
    </row>
    <row r="17" spans="1:6" ht="9.75">
      <c r="A17" s="21" t="s">
        <v>129</v>
      </c>
      <c r="B17" s="23">
        <f>'2010 BM Detail'!I143/1000</f>
        <v>171627.23132011</v>
      </c>
      <c r="C17" s="35" t="e">
        <f>#REF!</f>
        <v>#REF!</v>
      </c>
      <c r="D17" s="23" t="e">
        <f>B17*C17</f>
        <v>#REF!</v>
      </c>
      <c r="E17" s="23">
        <f>'2013 BM Detail'!G152/1000</f>
        <v>149953.77086000002</v>
      </c>
      <c r="F17" s="10" t="e">
        <f>E17-D17</f>
        <v>#REF!</v>
      </c>
    </row>
    <row r="18" spans="2:6" ht="9.75">
      <c r="B18" s="23"/>
      <c r="C18" s="31"/>
      <c r="D18" s="23"/>
      <c r="E18" s="23"/>
      <c r="F18" s="10"/>
    </row>
    <row r="19" spans="1:6" ht="9.75">
      <c r="A19" s="21" t="s">
        <v>137</v>
      </c>
      <c r="B19" s="23">
        <f>'2010 BM Detail'!I154/1000</f>
        <v>17687.20340569</v>
      </c>
      <c r="C19" s="35" t="e">
        <f>#REF!</f>
        <v>#REF!</v>
      </c>
      <c r="D19" s="23" t="e">
        <f>B19*C19</f>
        <v>#REF!</v>
      </c>
      <c r="E19" s="23">
        <f>'2013 BM Detail'!G164/1000</f>
        <v>12851.16955</v>
      </c>
      <c r="F19" s="10" t="e">
        <f>E19-D19</f>
        <v>#REF!</v>
      </c>
    </row>
    <row r="20" spans="2:6" ht="9.75">
      <c r="B20" s="23"/>
      <c r="C20" s="31"/>
      <c r="D20" s="23"/>
      <c r="E20" s="23"/>
      <c r="F20" s="10"/>
    </row>
    <row r="21" spans="1:6" ht="9.75">
      <c r="A21" s="21" t="s">
        <v>147</v>
      </c>
      <c r="B21" s="23">
        <f>'2010 BM Detail'!I160/1000</f>
        <v>29526.00555</v>
      </c>
      <c r="C21" s="35" t="e">
        <f>#REF!</f>
        <v>#REF!</v>
      </c>
      <c r="D21" s="23" t="e">
        <f>B21*C21</f>
        <v>#REF!</v>
      </c>
      <c r="E21" s="23">
        <f>'2013 BM Detail'!G170/1000</f>
        <v>15169.93861</v>
      </c>
      <c r="F21" s="10" t="e">
        <f>E21-D21</f>
        <v>#REF!</v>
      </c>
    </row>
    <row r="22" spans="2:6" ht="9.75">
      <c r="B22" s="23"/>
      <c r="C22" s="31"/>
      <c r="D22" s="23"/>
      <c r="E22" s="23"/>
      <c r="F22" s="10"/>
    </row>
    <row r="23" spans="1:6" ht="10.5" thickBot="1">
      <c r="A23" s="21" t="s">
        <v>238</v>
      </c>
      <c r="B23" s="48">
        <f>'2010 Filing Test Year BM'!E23</f>
        <v>319790.1249</v>
      </c>
      <c r="C23" s="35" t="e">
        <f>#REF!</f>
        <v>#REF!</v>
      </c>
      <c r="D23" s="48" t="e">
        <f>B23*C23</f>
        <v>#REF!</v>
      </c>
      <c r="E23" s="48">
        <f>'2013 BM Detail'!G215/1000</f>
        <v>391758.23789</v>
      </c>
      <c r="F23" s="63" t="e">
        <f>E23-D23</f>
        <v>#REF!</v>
      </c>
    </row>
    <row r="24" spans="2:6" ht="9.75">
      <c r="B24" s="49"/>
      <c r="C24" s="31"/>
      <c r="D24" s="49"/>
      <c r="E24" s="49"/>
      <c r="F24" s="49"/>
    </row>
    <row r="25" spans="1:6" ht="9.75">
      <c r="A25" s="21" t="s">
        <v>239</v>
      </c>
      <c r="B25" s="49">
        <f>SUM(B5:B24)</f>
        <v>1504545.8120575596</v>
      </c>
      <c r="C25" s="31"/>
      <c r="D25" s="50" t="e">
        <f>SUM(D5:D24)</f>
        <v>#REF!</v>
      </c>
      <c r="E25" s="50">
        <f>SUM(E5:E24)</f>
        <v>1562950.6321000003</v>
      </c>
      <c r="F25" s="50" t="e">
        <f>SUM(F5:F24)</f>
        <v>#REF!</v>
      </c>
    </row>
    <row r="27" spans="1:6" ht="9.75">
      <c r="A27" s="8" t="s">
        <v>334</v>
      </c>
      <c r="D27" s="51" t="e">
        <f>D25/B25-1</f>
        <v>#REF!</v>
      </c>
      <c r="E27" s="42"/>
      <c r="F27" s="42"/>
    </row>
    <row r="28" spans="1:6" ht="9.75">
      <c r="A28" s="8" t="s">
        <v>264</v>
      </c>
      <c r="D28" s="51" t="e">
        <f>(1+D27)^(1/3)-1</f>
        <v>#REF!</v>
      </c>
      <c r="E28" s="42"/>
      <c r="F28" s="42"/>
    </row>
    <row r="32" spans="2:6" ht="9.75">
      <c r="B32" s="23"/>
      <c r="D32" s="23"/>
      <c r="E32" s="23"/>
      <c r="F32" s="23"/>
    </row>
    <row r="33" spans="2:6" ht="9.75">
      <c r="B33" s="23"/>
      <c r="D33" s="23"/>
      <c r="E33" s="23"/>
      <c r="F33" s="23"/>
    </row>
    <row r="34" spans="2:6" ht="9.75">
      <c r="B34" s="24"/>
      <c r="D34" s="24"/>
      <c r="E34" s="24"/>
      <c r="F34" s="24"/>
    </row>
    <row r="35" spans="2:6" ht="9.75">
      <c r="B35" s="28"/>
      <c r="D35" s="28"/>
      <c r="E35" s="28"/>
      <c r="F35" s="2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ht="9.75">
      <c r="F48" s="7"/>
    </row>
    <row r="49" ht="9.75">
      <c r="F49" s="7"/>
    </row>
    <row r="50" ht="9.75">
      <c r="F50" s="7"/>
    </row>
    <row r="51" ht="9.75">
      <c r="F51" s="7"/>
    </row>
    <row r="52" ht="9.75">
      <c r="F52" s="7"/>
    </row>
    <row r="53" ht="9.75">
      <c r="F53" s="7"/>
    </row>
    <row r="54" ht="9.75">
      <c r="F54" s="7"/>
    </row>
    <row r="55" ht="9.75">
      <c r="F55" s="7"/>
    </row>
    <row r="56" ht="9.75">
      <c r="F56" s="7"/>
    </row>
    <row r="57" ht="9.75">
      <c r="F57" s="7"/>
    </row>
    <row r="58" ht="9.75">
      <c r="F58" s="7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4:6" ht="9.75">
      <c r="D68" s="42"/>
      <c r="E68" s="42"/>
      <c r="F68" s="42"/>
    </row>
    <row r="69" spans="2:6" ht="9.75">
      <c r="B69" s="21"/>
      <c r="D69" s="21"/>
      <c r="E69" s="21"/>
      <c r="F69" s="21"/>
    </row>
    <row r="73" spans="2:6" ht="9.75">
      <c r="B73" s="30"/>
      <c r="D73" s="30"/>
      <c r="E73" s="30"/>
      <c r="F73" s="30"/>
    </row>
    <row r="74" spans="2:6" ht="9.75">
      <c r="B74" s="30"/>
      <c r="D74" s="30"/>
      <c r="E74" s="30"/>
      <c r="F74" s="30"/>
    </row>
    <row r="75" spans="2:6" ht="9.75">
      <c r="B75" s="30"/>
      <c r="D75" s="30"/>
      <c r="E75" s="30"/>
      <c r="F7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5"/>
  <sheetViews>
    <sheetView zoomScalePageLayoutView="0" workbookViewId="0" topLeftCell="A1">
      <pane xSplit="2" ySplit="4" topLeftCell="C5" activePane="bottomRight" state="frozen"/>
      <selection pane="topLeft" activeCell="A192" sqref="A192"/>
      <selection pane="topRight" activeCell="A192" sqref="A192"/>
      <selection pane="bottomLeft" activeCell="A192" sqref="A192"/>
      <selection pane="bottomRight" activeCell="A2" sqref="A1:A2"/>
    </sheetView>
  </sheetViews>
  <sheetFormatPr defaultColWidth="9.140625" defaultRowHeight="12.75"/>
  <cols>
    <col min="1" max="1" width="55.7109375" style="2" customWidth="1"/>
    <col min="2" max="2" width="9.8515625" style="52" customWidth="1"/>
    <col min="3" max="3" width="10.8515625" style="73" bestFit="1" customWidth="1"/>
    <col min="4" max="7" width="13.57421875" style="71" customWidth="1"/>
    <col min="8" max="9" width="12.7109375" style="4" customWidth="1"/>
    <col min="10" max="10" width="11.7109375" style="4" customWidth="1"/>
    <col min="11" max="16384" width="9.140625" style="3" customWidth="1"/>
  </cols>
  <sheetData>
    <row r="1" ht="15">
      <c r="A1" s="268" t="s">
        <v>1117</v>
      </c>
    </row>
    <row r="2" ht="15">
      <c r="A2" s="268" t="s">
        <v>1116</v>
      </c>
    </row>
    <row r="3" spans="3:7" ht="9.75">
      <c r="C3" s="68">
        <v>1</v>
      </c>
      <c r="D3" s="53">
        <v>2</v>
      </c>
      <c r="E3" s="53" t="s">
        <v>290</v>
      </c>
      <c r="F3" s="53">
        <v>4</v>
      </c>
      <c r="G3" s="53" t="s">
        <v>291</v>
      </c>
    </row>
    <row r="4" spans="1:10" ht="21" thickBot="1">
      <c r="A4" s="15" t="s">
        <v>335</v>
      </c>
      <c r="B4" s="54" t="s">
        <v>265</v>
      </c>
      <c r="C4" s="54" t="s">
        <v>292</v>
      </c>
      <c r="D4" s="55" t="s">
        <v>2</v>
      </c>
      <c r="E4" s="55" t="s">
        <v>3</v>
      </c>
      <c r="F4" s="55" t="s">
        <v>4</v>
      </c>
      <c r="G4" s="55" t="s">
        <v>5</v>
      </c>
      <c r="H4" s="16" t="s">
        <v>192</v>
      </c>
      <c r="I4" s="22" t="s">
        <v>831</v>
      </c>
      <c r="J4" s="16" t="s">
        <v>193</v>
      </c>
    </row>
    <row r="5" spans="1:10" ht="9.75">
      <c r="A5" s="17"/>
      <c r="B5" s="56"/>
      <c r="C5" s="57"/>
      <c r="D5" s="57"/>
      <c r="E5" s="57"/>
      <c r="F5" s="57"/>
      <c r="G5" s="57"/>
      <c r="H5" s="18"/>
      <c r="I5" s="18"/>
      <c r="J5" s="18"/>
    </row>
    <row r="6" spans="1:7" ht="10.5" thickBot="1">
      <c r="A6" s="15" t="s">
        <v>6</v>
      </c>
      <c r="B6" s="56"/>
      <c r="C6" s="69"/>
      <c r="D6" s="58"/>
      <c r="E6" s="58"/>
      <c r="F6" s="58"/>
      <c r="G6" s="58"/>
    </row>
    <row r="7" spans="1:10" ht="9.75">
      <c r="A7" s="1" t="s">
        <v>293</v>
      </c>
      <c r="B7" s="59" t="s">
        <v>267</v>
      </c>
      <c r="C7" s="60">
        <f>VLOOKUP(A7,'2013 TY O&amp;M Exp(RIS)'!$A$5:$C$181,3,FALSE)</f>
        <v>7794020.98</v>
      </c>
      <c r="D7" s="60"/>
      <c r="E7" s="60">
        <f aca="true" t="shared" si="0" ref="E7:E26">+C7+D7</f>
        <v>7794020.98</v>
      </c>
      <c r="F7" s="60"/>
      <c r="G7" s="60">
        <f aca="true" t="shared" si="1" ref="G7:G26">+E7+F7</f>
        <v>7794020.98</v>
      </c>
      <c r="H7" s="5"/>
      <c r="I7" s="5"/>
      <c r="J7" s="5">
        <f>G7+H7+I7</f>
        <v>7794020.98</v>
      </c>
    </row>
    <row r="8" spans="1:10" ht="9.75">
      <c r="A8" s="1" t="s">
        <v>8</v>
      </c>
      <c r="B8" s="59" t="s">
        <v>268</v>
      </c>
      <c r="C8" s="60">
        <f>VLOOKUP(A8,'2013 TY O&amp;M Exp(RIS)'!$A$5:$C$181,3,FALSE)</f>
        <v>700540892.63</v>
      </c>
      <c r="D8" s="60">
        <f>-C8</f>
        <v>-700540892.63</v>
      </c>
      <c r="E8" s="60">
        <f t="shared" si="0"/>
        <v>0</v>
      </c>
      <c r="F8" s="60"/>
      <c r="G8" s="60">
        <f t="shared" si="1"/>
        <v>0</v>
      </c>
      <c r="H8" s="5"/>
      <c r="I8" s="5"/>
      <c r="J8" s="5">
        <f aca="true" t="shared" si="2" ref="J8:J26">G8+H8+I8</f>
        <v>0</v>
      </c>
    </row>
    <row r="9" spans="1:10" ht="9.75">
      <c r="A9" s="1" t="s">
        <v>9</v>
      </c>
      <c r="B9" s="59" t="s">
        <v>268</v>
      </c>
      <c r="C9" s="60">
        <f>VLOOKUP(A9,'2013 TY O&amp;M Exp(RIS)'!$A$5:$C$181,3,FALSE)</f>
        <v>9995114.78</v>
      </c>
      <c r="D9" s="60"/>
      <c r="E9" s="60">
        <f t="shared" si="0"/>
        <v>9995114.78</v>
      </c>
      <c r="F9" s="60">
        <f>-E9</f>
        <v>-9995114.78</v>
      </c>
      <c r="G9" s="60">
        <f t="shared" si="1"/>
        <v>0</v>
      </c>
      <c r="H9" s="5"/>
      <c r="I9" s="5"/>
      <c r="J9" s="5">
        <f t="shared" si="2"/>
        <v>0</v>
      </c>
    </row>
    <row r="10" spans="1:10" ht="9.75">
      <c r="A10" s="1" t="s">
        <v>10</v>
      </c>
      <c r="B10" s="59" t="s">
        <v>269</v>
      </c>
      <c r="C10" s="60">
        <f>VLOOKUP(A10,'2013 TY O&amp;M Exp(RIS)'!$A$5:$C$181,3,FALSE)</f>
        <v>5964287.99</v>
      </c>
      <c r="D10" s="60"/>
      <c r="E10" s="60">
        <f t="shared" si="0"/>
        <v>5964287.99</v>
      </c>
      <c r="F10" s="60"/>
      <c r="G10" s="60">
        <f t="shared" si="1"/>
        <v>5964287.99</v>
      </c>
      <c r="H10" s="5"/>
      <c r="I10" s="5"/>
      <c r="J10" s="5">
        <f t="shared" si="2"/>
        <v>5964287.99</v>
      </c>
    </row>
    <row r="11" spans="1:10" ht="9.75">
      <c r="A11" s="1" t="s">
        <v>11</v>
      </c>
      <c r="B11" s="59" t="s">
        <v>270</v>
      </c>
      <c r="C11" s="60">
        <f>VLOOKUP(A11,'2013 TY O&amp;M Exp(RIS)'!$A$5:$C$181,3,FALSE)</f>
        <v>2263814.77</v>
      </c>
      <c r="D11" s="60"/>
      <c r="E11" s="60">
        <f t="shared" si="0"/>
        <v>2263814.77</v>
      </c>
      <c r="F11" s="60"/>
      <c r="G11" s="60">
        <f t="shared" si="1"/>
        <v>2263814.77</v>
      </c>
      <c r="H11" s="5"/>
      <c r="I11" s="5"/>
      <c r="J11" s="5">
        <f t="shared" si="2"/>
        <v>2263814.77</v>
      </c>
    </row>
    <row r="12" spans="1:10" ht="9.75">
      <c r="A12" s="1" t="s">
        <v>294</v>
      </c>
      <c r="B12" s="59" t="s">
        <v>271</v>
      </c>
      <c r="C12" s="60">
        <f>VLOOKUP(A12,'2013 TY O&amp;M Exp(RIS)'!$A$5:$C$181,3,FALSE)</f>
        <v>21079312.06</v>
      </c>
      <c r="D12" s="60"/>
      <c r="E12" s="60">
        <f t="shared" si="0"/>
        <v>21079312.06</v>
      </c>
      <c r="F12" s="60"/>
      <c r="G12" s="60">
        <f t="shared" si="1"/>
        <v>21079312.06</v>
      </c>
      <c r="H12" s="5"/>
      <c r="I12" s="5"/>
      <c r="J12" s="5">
        <f t="shared" si="2"/>
        <v>21079312.06</v>
      </c>
    </row>
    <row r="13" spans="1:10" ht="9.75">
      <c r="A13" s="1" t="s">
        <v>12</v>
      </c>
      <c r="B13" s="59" t="s">
        <v>271</v>
      </c>
      <c r="C13" s="60">
        <f>VLOOKUP(A13,'2013 TY O&amp;M Exp(RIS)'!$A$5:$C$181,3,FALSE)</f>
        <v>6688174.47</v>
      </c>
      <c r="D13" s="60">
        <f>-C13</f>
        <v>-6688174.47</v>
      </c>
      <c r="E13" s="60">
        <f t="shared" si="0"/>
        <v>0</v>
      </c>
      <c r="F13" s="60"/>
      <c r="G13" s="60">
        <f t="shared" si="1"/>
        <v>0</v>
      </c>
      <c r="H13" s="5"/>
      <c r="I13" s="5"/>
      <c r="J13" s="5">
        <f t="shared" si="2"/>
        <v>0</v>
      </c>
    </row>
    <row r="14" spans="1:10" ht="9.75">
      <c r="A14" s="1" t="s">
        <v>13</v>
      </c>
      <c r="B14" s="59" t="s">
        <v>271</v>
      </c>
      <c r="C14" s="60">
        <f>VLOOKUP(A14,'2013 TY O&amp;M Exp(RIS)'!$A$5:$C$181,3,FALSE)</f>
        <v>1337939.58</v>
      </c>
      <c r="D14" s="60">
        <f>-C14</f>
        <v>-1337939.58</v>
      </c>
      <c r="E14" s="60">
        <f t="shared" si="0"/>
        <v>0</v>
      </c>
      <c r="F14" s="60"/>
      <c r="G14" s="60">
        <f t="shared" si="1"/>
        <v>0</v>
      </c>
      <c r="H14" s="5"/>
      <c r="I14" s="5"/>
      <c r="J14" s="5">
        <f t="shared" si="2"/>
        <v>0</v>
      </c>
    </row>
    <row r="15" spans="1:10" ht="9.75">
      <c r="A15" s="83" t="s">
        <v>14</v>
      </c>
      <c r="B15" s="59">
        <v>507</v>
      </c>
      <c r="C15" s="60">
        <f>VLOOKUP(A15,'2013 TY O&amp;M Exp(RIS)'!$A$5:$C$181,3,FALSE)</f>
        <v>3483.31</v>
      </c>
      <c r="D15" s="60"/>
      <c r="E15" s="60">
        <f t="shared" si="0"/>
        <v>3483.31</v>
      </c>
      <c r="F15" s="60"/>
      <c r="G15" s="60">
        <f t="shared" si="1"/>
        <v>3483.31</v>
      </c>
      <c r="H15" s="5"/>
      <c r="I15" s="5"/>
      <c r="J15" s="5">
        <f t="shared" si="2"/>
        <v>3483.31</v>
      </c>
    </row>
    <row r="16" spans="1:10" ht="9.75">
      <c r="A16" s="83" t="s">
        <v>15</v>
      </c>
      <c r="B16" s="59">
        <v>509</v>
      </c>
      <c r="C16" s="60">
        <f>VLOOKUP(A16,'2013 TY O&amp;M Exp(RIS)'!$A$5:$C$181,3,FALSE)</f>
        <v>0</v>
      </c>
      <c r="D16" s="60">
        <f>-C16</f>
        <v>0</v>
      </c>
      <c r="E16" s="60">
        <f t="shared" si="0"/>
        <v>0</v>
      </c>
      <c r="F16" s="60"/>
      <c r="G16" s="60">
        <f t="shared" si="1"/>
        <v>0</v>
      </c>
      <c r="H16" s="5"/>
      <c r="I16" s="5"/>
      <c r="J16" s="5">
        <f t="shared" si="2"/>
        <v>0</v>
      </c>
    </row>
    <row r="17" spans="1:10" ht="9.75">
      <c r="A17" s="83" t="s">
        <v>295</v>
      </c>
      <c r="B17" s="59">
        <v>510</v>
      </c>
      <c r="C17" s="60">
        <f>VLOOKUP(A17,'2013 TY O&amp;M Exp(RIS)'!$A$5:$C$181,3,FALSE)</f>
        <v>8749318.33</v>
      </c>
      <c r="D17" s="60"/>
      <c r="E17" s="60">
        <f t="shared" si="0"/>
        <v>8749318.33</v>
      </c>
      <c r="F17" s="60"/>
      <c r="G17" s="60">
        <f t="shared" si="1"/>
        <v>8749318.33</v>
      </c>
      <c r="H17" s="5"/>
      <c r="I17" s="5"/>
      <c r="J17" s="5">
        <f t="shared" si="2"/>
        <v>8749318.33</v>
      </c>
    </row>
    <row r="18" spans="1:10" ht="9.75">
      <c r="A18" s="83" t="s">
        <v>17</v>
      </c>
      <c r="B18" s="59">
        <v>511</v>
      </c>
      <c r="C18" s="60">
        <f>VLOOKUP(A18,'2013 TY O&amp;M Exp(RIS)'!$A$5:$C$181,3,FALSE)</f>
        <v>6135305.77</v>
      </c>
      <c r="D18" s="60"/>
      <c r="E18" s="60">
        <f t="shared" si="0"/>
        <v>6135305.77</v>
      </c>
      <c r="F18" s="60"/>
      <c r="G18" s="60">
        <f t="shared" si="1"/>
        <v>6135305.77</v>
      </c>
      <c r="H18" s="5"/>
      <c r="I18" s="5"/>
      <c r="J18" s="5">
        <f t="shared" si="2"/>
        <v>6135305.77</v>
      </c>
    </row>
    <row r="19" spans="1:10" ht="9.75">
      <c r="A19" s="83" t="s">
        <v>18</v>
      </c>
      <c r="B19" s="59">
        <v>511</v>
      </c>
      <c r="C19" s="60">
        <f>VLOOKUP(A19,'2013 TY O&amp;M Exp(RIS)'!$A$5:$C$181,3,FALSE)</f>
        <v>1721542</v>
      </c>
      <c r="D19" s="60">
        <f>-C19</f>
        <v>-1721542</v>
      </c>
      <c r="E19" s="60">
        <f t="shared" si="0"/>
        <v>0</v>
      </c>
      <c r="F19" s="60"/>
      <c r="G19" s="60">
        <f t="shared" si="1"/>
        <v>0</v>
      </c>
      <c r="H19" s="5"/>
      <c r="I19" s="5"/>
      <c r="J19" s="5">
        <f t="shared" si="2"/>
        <v>0</v>
      </c>
    </row>
    <row r="20" spans="1:10" ht="9.75">
      <c r="A20" s="83" t="s">
        <v>19</v>
      </c>
      <c r="B20" s="59">
        <v>511</v>
      </c>
      <c r="C20" s="60">
        <f>VLOOKUP(A20,'2013 TY O&amp;M Exp(RIS)'!$A$5:$C$181,3,FALSE)</f>
        <v>0</v>
      </c>
      <c r="D20" s="60"/>
      <c r="E20" s="60">
        <f>+C20+D20</f>
        <v>0</v>
      </c>
      <c r="F20" s="60"/>
      <c r="G20" s="60">
        <f>+E20+F20</f>
        <v>0</v>
      </c>
      <c r="H20" s="5"/>
      <c r="I20" s="5"/>
      <c r="J20" s="5">
        <f t="shared" si="2"/>
        <v>0</v>
      </c>
    </row>
    <row r="21" spans="1:10" ht="9.75">
      <c r="A21" s="83" t="s">
        <v>20</v>
      </c>
      <c r="B21" s="59">
        <v>512</v>
      </c>
      <c r="C21" s="60">
        <f>VLOOKUP(A21,'2013 TY O&amp;M Exp(RIS)'!$A$5:$C$181,3,FALSE)</f>
        <v>19993880.57</v>
      </c>
      <c r="D21" s="60"/>
      <c r="E21" s="60">
        <f t="shared" si="0"/>
        <v>19993880.57</v>
      </c>
      <c r="F21" s="60"/>
      <c r="G21" s="60">
        <f t="shared" si="1"/>
        <v>19993880.57</v>
      </c>
      <c r="H21" s="5"/>
      <c r="I21" s="5"/>
      <c r="J21" s="5">
        <f t="shared" si="2"/>
        <v>19993880.57</v>
      </c>
    </row>
    <row r="22" spans="1:10" ht="9.75">
      <c r="A22" s="83" t="s">
        <v>21</v>
      </c>
      <c r="B22" s="59">
        <v>512</v>
      </c>
      <c r="C22" s="60">
        <f>VLOOKUP(A22,'2013 TY O&amp;M Exp(RIS)'!$A$5:$C$181,3,FALSE)</f>
        <v>8594280</v>
      </c>
      <c r="D22" s="60">
        <f>-C22</f>
        <v>-8594280</v>
      </c>
      <c r="E22" s="60">
        <f t="shared" si="0"/>
        <v>0</v>
      </c>
      <c r="F22" s="60"/>
      <c r="G22" s="60">
        <f t="shared" si="1"/>
        <v>0</v>
      </c>
      <c r="H22" s="5"/>
      <c r="I22" s="5"/>
      <c r="J22" s="5">
        <f t="shared" si="2"/>
        <v>0</v>
      </c>
    </row>
    <row r="23" spans="1:10" ht="9.75">
      <c r="A23" s="83" t="s">
        <v>22</v>
      </c>
      <c r="B23" s="59">
        <v>513</v>
      </c>
      <c r="C23" s="60">
        <f>VLOOKUP(A23,'2013 TY O&amp;M Exp(RIS)'!$A$5:$C$181,3,FALSE)</f>
        <v>10599552.66</v>
      </c>
      <c r="D23" s="60"/>
      <c r="E23" s="60">
        <f t="shared" si="0"/>
        <v>10599552.66</v>
      </c>
      <c r="F23" s="60"/>
      <c r="G23" s="60">
        <f t="shared" si="1"/>
        <v>10599552.66</v>
      </c>
      <c r="H23" s="5"/>
      <c r="I23" s="5"/>
      <c r="J23" s="5">
        <f t="shared" si="2"/>
        <v>10599552.66</v>
      </c>
    </row>
    <row r="24" spans="1:10" ht="9.75">
      <c r="A24" s="83" t="s">
        <v>296</v>
      </c>
      <c r="B24" s="59">
        <v>513</v>
      </c>
      <c r="C24" s="60">
        <f>VLOOKUP(A24,'2013 TY O&amp;M Exp(RIS)'!$A$5:$C$181,3,FALSE)</f>
        <v>1335073</v>
      </c>
      <c r="D24" s="60">
        <f>-C24</f>
        <v>-1335073</v>
      </c>
      <c r="E24" s="60">
        <f t="shared" si="0"/>
        <v>0</v>
      </c>
      <c r="F24" s="60"/>
      <c r="G24" s="60">
        <f t="shared" si="1"/>
        <v>0</v>
      </c>
      <c r="H24" s="5"/>
      <c r="I24" s="5"/>
      <c r="J24" s="5">
        <f t="shared" si="2"/>
        <v>0</v>
      </c>
    </row>
    <row r="25" spans="1:10" ht="20.25">
      <c r="A25" s="83" t="s">
        <v>297</v>
      </c>
      <c r="B25" s="59">
        <v>514</v>
      </c>
      <c r="C25" s="60">
        <f>VLOOKUP(A25,'2013 TY O&amp;M Exp(RIS)'!$A$5:$C$181,3,FALSE)</f>
        <v>2783048.56</v>
      </c>
      <c r="D25" s="60"/>
      <c r="E25" s="60">
        <f t="shared" si="0"/>
        <v>2783048.56</v>
      </c>
      <c r="F25" s="60"/>
      <c r="G25" s="60">
        <f t="shared" si="1"/>
        <v>2783048.56</v>
      </c>
      <c r="H25" s="5"/>
      <c r="I25" s="5"/>
      <c r="J25" s="5">
        <f t="shared" si="2"/>
        <v>2783048.56</v>
      </c>
    </row>
    <row r="26" spans="1:10" ht="10.5" thickBot="1">
      <c r="A26" s="83" t="s">
        <v>24</v>
      </c>
      <c r="B26" s="59">
        <v>514</v>
      </c>
      <c r="C26" s="60">
        <f>VLOOKUP(A26,'2013 TY O&amp;M Exp(RIS)'!$A$5:$C$181,3,FALSE)</f>
        <v>242685.2</v>
      </c>
      <c r="D26" s="61">
        <f>-C26</f>
        <v>-242685.2</v>
      </c>
      <c r="E26" s="61">
        <f t="shared" si="0"/>
        <v>0</v>
      </c>
      <c r="F26" s="61"/>
      <c r="G26" s="61">
        <f t="shared" si="1"/>
        <v>0</v>
      </c>
      <c r="H26" s="5"/>
      <c r="I26" s="5"/>
      <c r="J26" s="5">
        <f t="shared" si="2"/>
        <v>0</v>
      </c>
    </row>
    <row r="27" spans="1:10" ht="9.75">
      <c r="A27" s="83" t="s">
        <v>25</v>
      </c>
      <c r="B27" s="59"/>
      <c r="C27" s="60">
        <f aca="true" t="shared" si="3" ref="C27:J27">SUM(C7:C26)</f>
        <v>815821726.66</v>
      </c>
      <c r="D27" s="60">
        <f t="shared" si="3"/>
        <v>-720460586.8800001</v>
      </c>
      <c r="E27" s="60">
        <f t="shared" si="3"/>
        <v>95361139.78</v>
      </c>
      <c r="F27" s="60">
        <f t="shared" si="3"/>
        <v>-9995114.78</v>
      </c>
      <c r="G27" s="70">
        <f t="shared" si="3"/>
        <v>85366025</v>
      </c>
      <c r="H27" s="6">
        <f t="shared" si="3"/>
        <v>0</v>
      </c>
      <c r="I27" s="6">
        <f t="shared" si="3"/>
        <v>0</v>
      </c>
      <c r="J27" s="19">
        <f t="shared" si="3"/>
        <v>85366025</v>
      </c>
    </row>
    <row r="28" spans="1:10" ht="9.75">
      <c r="A28" s="83"/>
      <c r="B28" s="59"/>
      <c r="C28" s="60"/>
      <c r="D28" s="60"/>
      <c r="E28" s="60"/>
      <c r="F28" s="60"/>
      <c r="G28" s="60"/>
      <c r="H28" s="5"/>
      <c r="I28" s="5"/>
      <c r="J28" s="5"/>
    </row>
    <row r="29" spans="1:10" ht="9.75">
      <c r="A29" s="83"/>
      <c r="B29" s="59"/>
      <c r="C29" s="60"/>
      <c r="D29" s="60"/>
      <c r="E29" s="60"/>
      <c r="F29" s="60"/>
      <c r="G29" s="60"/>
      <c r="H29" s="5"/>
      <c r="I29" s="5"/>
      <c r="J29" s="5"/>
    </row>
    <row r="30" spans="1:7" ht="10.5" thickBot="1">
      <c r="A30" s="84" t="s">
        <v>26</v>
      </c>
      <c r="B30" s="59"/>
      <c r="C30" s="60"/>
      <c r="D30" s="60"/>
      <c r="E30" s="60"/>
      <c r="F30" s="60"/>
      <c r="G30" s="60"/>
    </row>
    <row r="31" spans="1:10" ht="9.75">
      <c r="A31" s="83" t="s">
        <v>298</v>
      </c>
      <c r="B31" s="59">
        <v>517</v>
      </c>
      <c r="C31" s="60">
        <f>VLOOKUP(A31,'2013 TY O&amp;M Exp(RIS)'!$A$5:$C$181,3,FALSE)</f>
        <v>105717145.91</v>
      </c>
      <c r="D31" s="60"/>
      <c r="E31" s="60">
        <f aca="true" t="shared" si="4" ref="E31:E56">+C31+D31</f>
        <v>105717145.91</v>
      </c>
      <c r="F31" s="87">
        <v>-1076983</v>
      </c>
      <c r="G31" s="60">
        <f>+E31+F31</f>
        <v>104640162.91</v>
      </c>
      <c r="H31" s="5"/>
      <c r="I31" s="5"/>
      <c r="J31" s="5">
        <f aca="true" t="shared" si="5" ref="J31:J56">G31+H31+I31</f>
        <v>104640162.91</v>
      </c>
    </row>
    <row r="32" spans="1:10" ht="9.75">
      <c r="A32" s="83" t="s">
        <v>339</v>
      </c>
      <c r="B32" s="59">
        <v>518</v>
      </c>
      <c r="C32" s="60">
        <f>VLOOKUP(A32,'2013 TY O&amp;M Exp(RIS)'!$A$5:$C$181,3,FALSE)</f>
        <v>189576565.21</v>
      </c>
      <c r="D32" s="60">
        <f>-C32</f>
        <v>-189576565.21</v>
      </c>
      <c r="E32" s="60">
        <f t="shared" si="4"/>
        <v>0</v>
      </c>
      <c r="F32" s="60"/>
      <c r="G32" s="60">
        <f aca="true" t="shared" si="6" ref="G32:G56">+E32+F32</f>
        <v>0</v>
      </c>
      <c r="H32" s="5"/>
      <c r="I32" s="5"/>
      <c r="J32" s="5">
        <f t="shared" si="5"/>
        <v>0</v>
      </c>
    </row>
    <row r="33" spans="1:10" ht="9.75">
      <c r="A33" s="85" t="s">
        <v>340</v>
      </c>
      <c r="B33" s="59">
        <v>518</v>
      </c>
      <c r="C33" s="60">
        <f>VLOOKUP(A33,'2013 TY O&amp;M Exp(RIS)'!$A$5:$C$181,3,FALSE)</f>
        <v>21490238.79</v>
      </c>
      <c r="D33" s="60">
        <f>-C33</f>
        <v>-21490238.79</v>
      </c>
      <c r="E33" s="60">
        <f aca="true" t="shared" si="7" ref="E33:E39">+C33+D33</f>
        <v>0</v>
      </c>
      <c r="F33" s="60"/>
      <c r="G33" s="60">
        <f aca="true" t="shared" si="8" ref="G33:G39">+E33+F33</f>
        <v>0</v>
      </c>
      <c r="H33" s="5"/>
      <c r="I33" s="5"/>
      <c r="J33" s="5">
        <f t="shared" si="5"/>
        <v>0</v>
      </c>
    </row>
    <row r="34" spans="1:10" ht="9.75">
      <c r="A34" s="85" t="s">
        <v>30</v>
      </c>
      <c r="B34" s="59">
        <v>518</v>
      </c>
      <c r="C34" s="60">
        <f>VLOOKUP(A34,'2013 TY O&amp;M Exp(RIS)'!$A$5:$C$181,3,FALSE)</f>
        <v>35346332.38</v>
      </c>
      <c r="D34" s="60">
        <f>-C34</f>
        <v>-35346332.38</v>
      </c>
      <c r="E34" s="60">
        <f t="shared" si="7"/>
        <v>0</v>
      </c>
      <c r="F34" s="60"/>
      <c r="G34" s="60">
        <f t="shared" si="8"/>
        <v>0</v>
      </c>
      <c r="H34" s="5"/>
      <c r="I34" s="5"/>
      <c r="J34" s="5">
        <f t="shared" si="5"/>
        <v>0</v>
      </c>
    </row>
    <row r="35" spans="1:10" ht="9.75">
      <c r="A35" s="85" t="s">
        <v>31</v>
      </c>
      <c r="B35" s="59">
        <v>518</v>
      </c>
      <c r="C35" s="60">
        <f>VLOOKUP(A35,'2013 TY O&amp;M Exp(RIS)'!$A$5:$C$181,3,FALSE)</f>
        <v>0</v>
      </c>
      <c r="D35" s="60"/>
      <c r="E35" s="60">
        <f t="shared" si="7"/>
        <v>0</v>
      </c>
      <c r="F35" s="60"/>
      <c r="G35" s="60">
        <f t="shared" si="8"/>
        <v>0</v>
      </c>
      <c r="H35" s="5"/>
      <c r="I35" s="5"/>
      <c r="J35" s="5">
        <f t="shared" si="5"/>
        <v>0</v>
      </c>
    </row>
    <row r="36" spans="1:10" ht="9.75">
      <c r="A36" s="85" t="s">
        <v>32</v>
      </c>
      <c r="B36" s="59">
        <v>518</v>
      </c>
      <c r="C36" s="60">
        <f>VLOOKUP(A36,'2013 TY O&amp;M Exp(RIS)'!$A$5:$C$181,3,FALSE)</f>
        <v>0</v>
      </c>
      <c r="D36" s="60"/>
      <c r="E36" s="60">
        <f t="shared" si="7"/>
        <v>0</v>
      </c>
      <c r="F36" s="60"/>
      <c r="G36" s="60">
        <f t="shared" si="8"/>
        <v>0</v>
      </c>
      <c r="H36" s="5"/>
      <c r="I36" s="5"/>
      <c r="J36" s="5">
        <f t="shared" si="5"/>
        <v>0</v>
      </c>
    </row>
    <row r="37" spans="1:10" ht="9.75">
      <c r="A37" s="85" t="s">
        <v>33</v>
      </c>
      <c r="B37" s="59">
        <v>518</v>
      </c>
      <c r="C37" s="60">
        <f>VLOOKUP(A37,'2013 TY O&amp;M Exp(RIS)'!$A$5:$C$181,3,FALSE)</f>
        <v>0</v>
      </c>
      <c r="D37" s="60"/>
      <c r="E37" s="60">
        <f t="shared" si="7"/>
        <v>0</v>
      </c>
      <c r="F37" s="60"/>
      <c r="G37" s="60">
        <f t="shared" si="8"/>
        <v>0</v>
      </c>
      <c r="H37" s="5"/>
      <c r="I37" s="5"/>
      <c r="J37" s="5">
        <f t="shared" si="5"/>
        <v>0</v>
      </c>
    </row>
    <row r="38" spans="1:10" ht="9.75">
      <c r="A38" s="85" t="s">
        <v>34</v>
      </c>
      <c r="B38" s="59">
        <v>518</v>
      </c>
      <c r="C38" s="60">
        <f>VLOOKUP(A38,'2013 TY O&amp;M Exp(RIS)'!$A$5:$C$181,3,FALSE)</f>
        <v>0</v>
      </c>
      <c r="D38" s="60"/>
      <c r="E38" s="60">
        <f t="shared" si="7"/>
        <v>0</v>
      </c>
      <c r="F38" s="60"/>
      <c r="G38" s="60">
        <f t="shared" si="8"/>
        <v>0</v>
      </c>
      <c r="H38" s="5"/>
      <c r="I38" s="5"/>
      <c r="J38" s="5">
        <f t="shared" si="5"/>
        <v>0</v>
      </c>
    </row>
    <row r="39" spans="1:10" ht="9.75">
      <c r="A39" s="85" t="s">
        <v>341</v>
      </c>
      <c r="B39" s="59">
        <v>518</v>
      </c>
      <c r="C39" s="60">
        <f>VLOOKUP(A39,'2013 TY O&amp;M Exp(RIS)'!$A$5:$C$181,3,FALSE)</f>
        <v>0</v>
      </c>
      <c r="D39" s="60"/>
      <c r="E39" s="60">
        <f t="shared" si="7"/>
        <v>0</v>
      </c>
      <c r="F39" s="60"/>
      <c r="G39" s="60">
        <f t="shared" si="8"/>
        <v>0</v>
      </c>
      <c r="H39" s="5"/>
      <c r="I39" s="5"/>
      <c r="J39" s="5">
        <f t="shared" si="5"/>
        <v>0</v>
      </c>
    </row>
    <row r="40" spans="1:10" ht="9.75">
      <c r="A40" s="83" t="s">
        <v>299</v>
      </c>
      <c r="B40" s="59">
        <v>518</v>
      </c>
      <c r="C40" s="60">
        <f>VLOOKUP(A40,'2013 TY O&amp;M Exp(RIS)'!$A$5:$C$181,3,FALSE)</f>
        <v>11753702</v>
      </c>
      <c r="D40" s="60"/>
      <c r="E40" s="60">
        <f t="shared" si="4"/>
        <v>11753702</v>
      </c>
      <c r="F40" s="60">
        <f>-E40</f>
        <v>-11753702</v>
      </c>
      <c r="G40" s="60">
        <f t="shared" si="6"/>
        <v>0</v>
      </c>
      <c r="H40" s="5"/>
      <c r="I40" s="5"/>
      <c r="J40" s="5">
        <f t="shared" si="5"/>
        <v>0</v>
      </c>
    </row>
    <row r="41" spans="1:10" ht="9.75">
      <c r="A41" s="83" t="s">
        <v>37</v>
      </c>
      <c r="B41" s="59">
        <v>519</v>
      </c>
      <c r="C41" s="60">
        <f>VLOOKUP(A41,'2013 TY O&amp;M Exp(RIS)'!$A$5:$C$181,3,FALSE)</f>
        <v>8984825.6</v>
      </c>
      <c r="D41" s="60"/>
      <c r="E41" s="60">
        <f t="shared" si="4"/>
        <v>8984825.6</v>
      </c>
      <c r="F41" s="60"/>
      <c r="G41" s="60">
        <f t="shared" si="6"/>
        <v>8984825.6</v>
      </c>
      <c r="H41" s="5"/>
      <c r="I41" s="5"/>
      <c r="J41" s="5">
        <f t="shared" si="5"/>
        <v>8984825.6</v>
      </c>
    </row>
    <row r="42" spans="1:10" ht="9.75">
      <c r="A42" s="83" t="s">
        <v>38</v>
      </c>
      <c r="B42" s="59">
        <v>520</v>
      </c>
      <c r="C42" s="60">
        <f>VLOOKUP(A42,'2013 TY O&amp;M Exp(RIS)'!$A$5:$C$181,3,FALSE)</f>
        <v>64486955.4</v>
      </c>
      <c r="D42" s="60"/>
      <c r="E42" s="60">
        <f t="shared" si="4"/>
        <v>64486955.4</v>
      </c>
      <c r="F42" s="60"/>
      <c r="G42" s="60">
        <f t="shared" si="6"/>
        <v>64486955.4</v>
      </c>
      <c r="H42" s="5"/>
      <c r="I42" s="5"/>
      <c r="J42" s="5">
        <f t="shared" si="5"/>
        <v>64486955.4</v>
      </c>
    </row>
    <row r="43" spans="1:10" ht="9.75">
      <c r="A43" s="83" t="s">
        <v>39</v>
      </c>
      <c r="B43" s="59">
        <v>520</v>
      </c>
      <c r="C43" s="60">
        <f>VLOOKUP(A43,'2013 TY O&amp;M Exp(RIS)'!$A$5:$C$181,3,FALSE)</f>
        <v>0</v>
      </c>
      <c r="D43" s="60">
        <f>-C43</f>
        <v>0</v>
      </c>
      <c r="E43" s="60">
        <f>+C43+D43</f>
        <v>0</v>
      </c>
      <c r="F43" s="60"/>
      <c r="G43" s="60">
        <f>+E43+F43</f>
        <v>0</v>
      </c>
      <c r="H43" s="5"/>
      <c r="I43" s="5"/>
      <c r="J43" s="5">
        <f t="shared" si="5"/>
        <v>0</v>
      </c>
    </row>
    <row r="44" spans="1:10" ht="9.75">
      <c r="A44" s="83" t="s">
        <v>40</v>
      </c>
      <c r="B44" s="59">
        <v>523</v>
      </c>
      <c r="C44" s="60">
        <f>VLOOKUP(A44,'2013 TY O&amp;M Exp(RIS)'!$A$5:$C$181,3,FALSE)</f>
        <v>66333.12</v>
      </c>
      <c r="D44" s="60"/>
      <c r="E44" s="60">
        <f t="shared" si="4"/>
        <v>66333.12</v>
      </c>
      <c r="F44" s="60"/>
      <c r="G44" s="60">
        <f t="shared" si="6"/>
        <v>66333.12</v>
      </c>
      <c r="H44" s="5"/>
      <c r="I44" s="5"/>
      <c r="J44" s="5">
        <f t="shared" si="5"/>
        <v>66333.12</v>
      </c>
    </row>
    <row r="45" spans="1:10" ht="20.25">
      <c r="A45" s="83" t="s">
        <v>300</v>
      </c>
      <c r="B45" s="59">
        <v>524</v>
      </c>
      <c r="C45" s="60">
        <f>VLOOKUP(A45,'2013 TY O&amp;M Exp(RIS)'!$A$5:$C$181,3,FALSE)</f>
        <v>66368877.34</v>
      </c>
      <c r="D45" s="60"/>
      <c r="E45" s="60">
        <f t="shared" si="4"/>
        <v>66368877.34</v>
      </c>
      <c r="F45" s="60"/>
      <c r="G45" s="60">
        <f t="shared" si="6"/>
        <v>66368877.34</v>
      </c>
      <c r="H45" s="5"/>
      <c r="I45" s="5"/>
      <c r="J45" s="5">
        <f t="shared" si="5"/>
        <v>66368877.34</v>
      </c>
    </row>
    <row r="46" spans="1:10" ht="9.75">
      <c r="A46" s="83" t="s">
        <v>42</v>
      </c>
      <c r="B46" s="59">
        <v>524</v>
      </c>
      <c r="C46" s="60">
        <f>VLOOKUP(A46,'2013 TY O&amp;M Exp(RIS)'!$A$5:$C$181,3,FALSE)</f>
        <v>11553</v>
      </c>
      <c r="D46" s="60">
        <f>-C46</f>
        <v>-11553</v>
      </c>
      <c r="E46" s="60">
        <f t="shared" si="4"/>
        <v>0</v>
      </c>
      <c r="F46" s="60"/>
      <c r="G46" s="60">
        <f t="shared" si="6"/>
        <v>0</v>
      </c>
      <c r="H46" s="5"/>
      <c r="I46" s="5"/>
      <c r="J46" s="5">
        <f t="shared" si="5"/>
        <v>0</v>
      </c>
    </row>
    <row r="47" spans="1:10" ht="20.25">
      <c r="A47" s="83" t="s">
        <v>301</v>
      </c>
      <c r="B47" s="59">
        <v>524</v>
      </c>
      <c r="C47" s="60">
        <f>VLOOKUP(A47,'2013 TY O&amp;M Exp(RIS)'!$A$5:$C$181,3,FALSE)</f>
        <v>6707476</v>
      </c>
      <c r="D47" s="60">
        <f>-C47</f>
        <v>-6707476</v>
      </c>
      <c r="E47" s="60">
        <f t="shared" si="4"/>
        <v>0</v>
      </c>
      <c r="F47" s="60"/>
      <c r="G47" s="60">
        <f t="shared" si="6"/>
        <v>0</v>
      </c>
      <c r="H47" s="5"/>
      <c r="I47" s="5"/>
      <c r="J47" s="5">
        <f t="shared" si="5"/>
        <v>0</v>
      </c>
    </row>
    <row r="48" spans="1:10" ht="9.75">
      <c r="A48" s="83" t="s">
        <v>342</v>
      </c>
      <c r="B48" s="59">
        <v>524</v>
      </c>
      <c r="C48" s="60">
        <f>VLOOKUP(A48,'2013 TY O&amp;M Exp(RIS)'!$A$5:$C$181,3,FALSE)</f>
        <v>0</v>
      </c>
      <c r="D48" s="60"/>
      <c r="E48" s="60">
        <f>+C48+D48</f>
        <v>0</v>
      </c>
      <c r="F48" s="60"/>
      <c r="G48" s="60">
        <f>+E48+F48</f>
        <v>0</v>
      </c>
      <c r="H48" s="5"/>
      <c r="I48" s="5"/>
      <c r="J48" s="5">
        <f t="shared" si="5"/>
        <v>0</v>
      </c>
    </row>
    <row r="49" spans="1:10" ht="9.75">
      <c r="A49" s="83" t="s">
        <v>43</v>
      </c>
      <c r="B49" s="59">
        <v>525</v>
      </c>
      <c r="C49" s="60">
        <f>VLOOKUP(A49,'2013 TY O&amp;M Exp(RIS)'!$A$5:$C$181,3,FALSE)</f>
        <v>0</v>
      </c>
      <c r="D49" s="60"/>
      <c r="E49" s="60">
        <f>+C49+D49</f>
        <v>0</v>
      </c>
      <c r="F49" s="60"/>
      <c r="G49" s="60">
        <f>+E49+F49</f>
        <v>0</v>
      </c>
      <c r="H49" s="5"/>
      <c r="I49" s="5"/>
      <c r="J49" s="5">
        <f t="shared" si="5"/>
        <v>0</v>
      </c>
    </row>
    <row r="50" spans="1:10" ht="20.25">
      <c r="A50" s="83" t="s">
        <v>302</v>
      </c>
      <c r="B50" s="59">
        <v>528</v>
      </c>
      <c r="C50" s="60">
        <f>VLOOKUP(A50,'2013 TY O&amp;M Exp(RIS)'!$A$5:$C$181,3,FALSE)</f>
        <v>110908125.49</v>
      </c>
      <c r="D50" s="60"/>
      <c r="E50" s="60">
        <f t="shared" si="4"/>
        <v>110908125.49</v>
      </c>
      <c r="F50" s="60"/>
      <c r="G50" s="60">
        <f t="shared" si="6"/>
        <v>110908125.49</v>
      </c>
      <c r="H50" s="5"/>
      <c r="I50" s="5"/>
      <c r="J50" s="5">
        <f t="shared" si="5"/>
        <v>110908125.49</v>
      </c>
    </row>
    <row r="51" spans="1:10" ht="9.75">
      <c r="A51" s="83" t="s">
        <v>45</v>
      </c>
      <c r="B51" s="59">
        <v>529</v>
      </c>
      <c r="C51" s="60">
        <f>VLOOKUP(A51,'2013 TY O&amp;M Exp(RIS)'!$A$5:$C$181,3,FALSE)</f>
        <v>5708158.48</v>
      </c>
      <c r="D51" s="60"/>
      <c r="E51" s="60">
        <f t="shared" si="4"/>
        <v>5708158.48</v>
      </c>
      <c r="F51" s="60"/>
      <c r="G51" s="60">
        <f t="shared" si="6"/>
        <v>5708158.48</v>
      </c>
      <c r="H51" s="5"/>
      <c r="I51" s="5"/>
      <c r="J51" s="5">
        <f t="shared" si="5"/>
        <v>5708158.48</v>
      </c>
    </row>
    <row r="52" spans="1:10" ht="9.75">
      <c r="A52" s="83" t="s">
        <v>46</v>
      </c>
      <c r="B52" s="59">
        <v>529</v>
      </c>
      <c r="C52" s="60">
        <f>VLOOKUP(A52,'2013 TY O&amp;M Exp(RIS)'!$A$5:$C$181,3,FALSE)</f>
        <v>1300000</v>
      </c>
      <c r="D52" s="60">
        <f>-C52</f>
        <v>-1300000</v>
      </c>
      <c r="E52" s="60">
        <f t="shared" si="4"/>
        <v>0</v>
      </c>
      <c r="F52" s="60"/>
      <c r="G52" s="60">
        <f t="shared" si="6"/>
        <v>0</v>
      </c>
      <c r="H52" s="5"/>
      <c r="I52" s="5"/>
      <c r="J52" s="5">
        <f t="shared" si="5"/>
        <v>0</v>
      </c>
    </row>
    <row r="53" spans="1:10" ht="9.75">
      <c r="A53" s="83" t="s">
        <v>47</v>
      </c>
      <c r="B53" s="59">
        <v>530</v>
      </c>
      <c r="C53" s="60">
        <f>VLOOKUP(A53,'2013 TY O&amp;M Exp(RIS)'!$A$5:$C$181,3,FALSE)</f>
        <v>30288151.37</v>
      </c>
      <c r="D53" s="60"/>
      <c r="E53" s="60">
        <f t="shared" si="4"/>
        <v>30288151.37</v>
      </c>
      <c r="F53" s="60"/>
      <c r="G53" s="60">
        <f t="shared" si="6"/>
        <v>30288151.37</v>
      </c>
      <c r="H53" s="5"/>
      <c r="I53" s="5"/>
      <c r="J53" s="5">
        <f t="shared" si="5"/>
        <v>30288151.37</v>
      </c>
    </row>
    <row r="54" spans="1:10" ht="9.75">
      <c r="A54" s="83" t="s">
        <v>48</v>
      </c>
      <c r="B54" s="59">
        <v>531</v>
      </c>
      <c r="C54" s="60">
        <f>VLOOKUP(A54,'2013 TY O&amp;M Exp(RIS)'!$A$5:$C$181,3,FALSE)</f>
        <v>11993463.42</v>
      </c>
      <c r="D54" s="60"/>
      <c r="E54" s="60">
        <f t="shared" si="4"/>
        <v>11993463.42</v>
      </c>
      <c r="F54" s="60"/>
      <c r="G54" s="60">
        <f t="shared" si="6"/>
        <v>11993463.42</v>
      </c>
      <c r="H54" s="5"/>
      <c r="I54" s="5"/>
      <c r="J54" s="5">
        <f t="shared" si="5"/>
        <v>11993463.42</v>
      </c>
    </row>
    <row r="55" spans="1:10" ht="9.75">
      <c r="A55" s="83" t="s">
        <v>303</v>
      </c>
      <c r="B55" s="59">
        <v>532</v>
      </c>
      <c r="C55" s="60">
        <f>VLOOKUP(A55,'2013 TY O&amp;M Exp(RIS)'!$A$5:$C$181,3,FALSE)</f>
        <v>3111660.66</v>
      </c>
      <c r="D55" s="60"/>
      <c r="E55" s="60">
        <f>+C55+D55</f>
        <v>3111660.66</v>
      </c>
      <c r="F55" s="60"/>
      <c r="G55" s="60">
        <f>+E55+F55</f>
        <v>3111660.66</v>
      </c>
      <c r="H55" s="5"/>
      <c r="I55" s="5"/>
      <c r="J55" s="5">
        <f t="shared" si="5"/>
        <v>3111660.66</v>
      </c>
    </row>
    <row r="56" spans="1:10" ht="10.5" thickBot="1">
      <c r="A56" s="83" t="s">
        <v>50</v>
      </c>
      <c r="B56" s="59">
        <v>532</v>
      </c>
      <c r="C56" s="60">
        <f>VLOOKUP(A56,'2013 TY O&amp;M Exp(RIS)'!$A$5:$C$181,3,FALSE)</f>
        <v>0</v>
      </c>
      <c r="D56" s="61">
        <f>-C56</f>
        <v>0</v>
      </c>
      <c r="E56" s="61">
        <f t="shared" si="4"/>
        <v>0</v>
      </c>
      <c r="F56" s="61"/>
      <c r="G56" s="61">
        <f t="shared" si="6"/>
        <v>0</v>
      </c>
      <c r="H56" s="5"/>
      <c r="I56" s="5"/>
      <c r="J56" s="5">
        <f t="shared" si="5"/>
        <v>0</v>
      </c>
    </row>
    <row r="57" spans="1:10" ht="9.75">
      <c r="A57" s="83" t="s">
        <v>51</v>
      </c>
      <c r="B57" s="59"/>
      <c r="C57" s="60">
        <f aca="true" t="shared" si="9" ref="C57:J57">SUM(C31:C56)</f>
        <v>673819564.17</v>
      </c>
      <c r="D57" s="60">
        <f t="shared" si="9"/>
        <v>-254432165.38</v>
      </c>
      <c r="E57" s="60">
        <f t="shared" si="9"/>
        <v>419387398.7900001</v>
      </c>
      <c r="F57" s="60">
        <f t="shared" si="9"/>
        <v>-12830685</v>
      </c>
      <c r="G57" s="70">
        <f t="shared" si="9"/>
        <v>406556713.7900001</v>
      </c>
      <c r="H57" s="6">
        <f t="shared" si="9"/>
        <v>0</v>
      </c>
      <c r="I57" s="6">
        <f t="shared" si="9"/>
        <v>0</v>
      </c>
      <c r="J57" s="19">
        <f t="shared" si="9"/>
        <v>406556713.7900001</v>
      </c>
    </row>
    <row r="58" spans="1:10" ht="9.75">
      <c r="A58" s="83"/>
      <c r="B58" s="59"/>
      <c r="C58" s="60"/>
      <c r="D58" s="60"/>
      <c r="E58" s="60"/>
      <c r="F58" s="60"/>
      <c r="G58" s="60"/>
      <c r="H58" s="5"/>
      <c r="I58" s="5"/>
      <c r="J58" s="5"/>
    </row>
    <row r="59" spans="1:10" ht="10.5" thickBot="1">
      <c r="A59" s="84" t="s">
        <v>52</v>
      </c>
      <c r="B59" s="59"/>
      <c r="C59" s="60"/>
      <c r="D59" s="60"/>
      <c r="E59" s="60"/>
      <c r="F59" s="60"/>
      <c r="G59" s="60"/>
      <c r="H59" s="5"/>
      <c r="I59" s="5"/>
      <c r="J59" s="5"/>
    </row>
    <row r="60" spans="1:10" ht="9.75">
      <c r="A60" s="83" t="s">
        <v>304</v>
      </c>
      <c r="B60" s="59">
        <v>546</v>
      </c>
      <c r="C60" s="60">
        <f>VLOOKUP(A60,'2013 TY O&amp;M Exp(RIS)'!$A$5:$C$181,3,FALSE)</f>
        <v>15097339.52</v>
      </c>
      <c r="D60" s="60"/>
      <c r="E60" s="60">
        <f aca="true" t="shared" si="10" ref="E60:E77">+C60+D60</f>
        <v>15097339.52</v>
      </c>
      <c r="F60" s="60"/>
      <c r="G60" s="60">
        <f aca="true" t="shared" si="11" ref="G60:G76">+E60+F60</f>
        <v>15097339.52</v>
      </c>
      <c r="H60" s="5"/>
      <c r="I60" s="5"/>
      <c r="J60" s="5">
        <f aca="true" t="shared" si="12" ref="J60:J80">G60+H60+I60</f>
        <v>15097339.52</v>
      </c>
    </row>
    <row r="61" spans="1:10" ht="20.25">
      <c r="A61" s="83" t="s">
        <v>305</v>
      </c>
      <c r="B61" s="59">
        <v>546</v>
      </c>
      <c r="C61" s="60">
        <f>VLOOKUP(A61,'2013 TY O&amp;M Exp(RIS)'!$A$5:$C$181,3,FALSE)</f>
        <v>386329.29</v>
      </c>
      <c r="D61" s="60">
        <f>-C61</f>
        <v>-386329.29</v>
      </c>
      <c r="E61" s="60">
        <f t="shared" si="10"/>
        <v>0</v>
      </c>
      <c r="F61" s="60"/>
      <c r="G61" s="60">
        <f t="shared" si="11"/>
        <v>0</v>
      </c>
      <c r="H61" s="5"/>
      <c r="I61" s="5"/>
      <c r="J61" s="5">
        <f t="shared" si="12"/>
        <v>0</v>
      </c>
    </row>
    <row r="62" spans="1:10" ht="9.75">
      <c r="A62" s="83" t="s">
        <v>54</v>
      </c>
      <c r="B62" s="59">
        <v>547</v>
      </c>
      <c r="C62" s="60">
        <f>VLOOKUP(A62,'2013 TY O&amp;M Exp(RIS)'!$A$5:$C$181,3,FALSE)</f>
        <v>2324417979.45</v>
      </c>
      <c r="D62" s="60">
        <f>-C62</f>
        <v>-2324417979.45</v>
      </c>
      <c r="E62" s="60">
        <f t="shared" si="10"/>
        <v>0</v>
      </c>
      <c r="F62" s="60"/>
      <c r="G62" s="60">
        <f t="shared" si="11"/>
        <v>0</v>
      </c>
      <c r="H62" s="5"/>
      <c r="I62" s="5"/>
      <c r="J62" s="5">
        <f t="shared" si="12"/>
        <v>0</v>
      </c>
    </row>
    <row r="63" spans="1:10" ht="9.75">
      <c r="A63" s="83" t="s">
        <v>306</v>
      </c>
      <c r="B63" s="59">
        <v>547</v>
      </c>
      <c r="C63" s="60">
        <f>VLOOKUP(A63,'2013 TY O&amp;M Exp(RIS)'!$A$5:$C$181,3,FALSE)</f>
        <v>2177973.51</v>
      </c>
      <c r="D63" s="60"/>
      <c r="E63" s="60">
        <f t="shared" si="10"/>
        <v>2177973.51</v>
      </c>
      <c r="F63" s="60">
        <f>-E63</f>
        <v>-2177973.51</v>
      </c>
      <c r="G63" s="60">
        <f t="shared" si="11"/>
        <v>0</v>
      </c>
      <c r="H63" s="5"/>
      <c r="I63" s="5"/>
      <c r="J63" s="5">
        <f t="shared" si="12"/>
        <v>0</v>
      </c>
    </row>
    <row r="64" spans="1:10" ht="9.75">
      <c r="A64" s="83" t="s">
        <v>56</v>
      </c>
      <c r="B64" s="59">
        <v>548</v>
      </c>
      <c r="C64" s="60">
        <f>VLOOKUP(A64,'2013 TY O&amp;M Exp(RIS)'!$A$5:$C$181,3,FALSE)</f>
        <v>19989276.49</v>
      </c>
      <c r="D64" s="60"/>
      <c r="E64" s="60">
        <f t="shared" si="10"/>
        <v>19989276.49</v>
      </c>
      <c r="F64" s="60"/>
      <c r="G64" s="60">
        <f t="shared" si="11"/>
        <v>19989276.49</v>
      </c>
      <c r="H64" s="5"/>
      <c r="I64" s="5"/>
      <c r="J64" s="5">
        <f t="shared" si="12"/>
        <v>19989276.49</v>
      </c>
    </row>
    <row r="65" spans="1:10" ht="9.75">
      <c r="A65" s="83" t="s">
        <v>307</v>
      </c>
      <c r="B65" s="59">
        <v>549</v>
      </c>
      <c r="C65" s="60">
        <f>VLOOKUP(A65,'2013 TY O&amp;M Exp(RIS)'!$A$5:$C$181,3,FALSE)</f>
        <v>29988835.58</v>
      </c>
      <c r="D65" s="60"/>
      <c r="E65" s="60">
        <f t="shared" si="10"/>
        <v>29988835.58</v>
      </c>
      <c r="F65" s="60"/>
      <c r="G65" s="60">
        <f t="shared" si="11"/>
        <v>29988835.58</v>
      </c>
      <c r="H65" s="5"/>
      <c r="I65" s="5"/>
      <c r="J65" s="5">
        <f t="shared" si="12"/>
        <v>29988835.58</v>
      </c>
    </row>
    <row r="66" spans="1:10" ht="9.75">
      <c r="A66" s="83" t="s">
        <v>58</v>
      </c>
      <c r="B66" s="59">
        <v>549</v>
      </c>
      <c r="C66" s="60">
        <f>VLOOKUP(A66,'2013 TY O&amp;M Exp(RIS)'!$A$5:$C$181,3,FALSE)</f>
        <v>1707719.63</v>
      </c>
      <c r="D66" s="60">
        <f>-C66</f>
        <v>-1707719.63</v>
      </c>
      <c r="E66" s="60">
        <f t="shared" si="10"/>
        <v>0</v>
      </c>
      <c r="F66" s="60"/>
      <c r="G66" s="60">
        <f t="shared" si="11"/>
        <v>0</v>
      </c>
      <c r="H66" s="5"/>
      <c r="I66" s="5"/>
      <c r="J66" s="5">
        <f t="shared" si="12"/>
        <v>0</v>
      </c>
    </row>
    <row r="67" spans="1:10" ht="9.75">
      <c r="A67" s="83" t="s">
        <v>343</v>
      </c>
      <c r="B67" s="59">
        <v>549</v>
      </c>
      <c r="C67" s="60">
        <f>VLOOKUP(A67,'2013 TY O&amp;M Exp(RIS)'!$A$5:$C$181,3,FALSE)</f>
        <v>0</v>
      </c>
      <c r="D67" s="60"/>
      <c r="E67" s="60">
        <f>+C67+D67</f>
        <v>0</v>
      </c>
      <c r="F67" s="60"/>
      <c r="G67" s="60">
        <f>+E67+F67</f>
        <v>0</v>
      </c>
      <c r="H67" s="5"/>
      <c r="I67" s="5"/>
      <c r="J67" s="5">
        <f t="shared" si="12"/>
        <v>0</v>
      </c>
    </row>
    <row r="68" spans="1:10" ht="9.75">
      <c r="A68" s="83" t="s">
        <v>59</v>
      </c>
      <c r="B68" s="59">
        <v>549</v>
      </c>
      <c r="C68" s="60">
        <f>VLOOKUP(A68,'2013 TY O&amp;M Exp(RIS)'!$A$5:$C$181,3,FALSE)</f>
        <v>483369.94</v>
      </c>
      <c r="D68" s="60">
        <f>-C68</f>
        <v>-483369.94</v>
      </c>
      <c r="E68" s="60">
        <f t="shared" si="10"/>
        <v>0</v>
      </c>
      <c r="F68" s="60"/>
      <c r="G68" s="60">
        <f t="shared" si="11"/>
        <v>0</v>
      </c>
      <c r="H68" s="5"/>
      <c r="I68" s="5"/>
      <c r="J68" s="5">
        <f t="shared" si="12"/>
        <v>0</v>
      </c>
    </row>
    <row r="69" spans="1:10" ht="9.75">
      <c r="A69" s="83" t="s">
        <v>344</v>
      </c>
      <c r="B69" s="59">
        <v>550</v>
      </c>
      <c r="C69" s="60">
        <f>VLOOKUP(A69,'2013 TY O&amp;M Exp(RIS)'!$A$5:$C$181,3,FALSE)</f>
        <v>0</v>
      </c>
      <c r="D69" s="60"/>
      <c r="E69" s="60">
        <f>+C69+D69</f>
        <v>0</v>
      </c>
      <c r="F69" s="60"/>
      <c r="G69" s="60">
        <f>+E69+F69</f>
        <v>0</v>
      </c>
      <c r="H69" s="5"/>
      <c r="I69" s="5"/>
      <c r="J69" s="5">
        <f t="shared" si="12"/>
        <v>0</v>
      </c>
    </row>
    <row r="70" spans="1:10" ht="9.75">
      <c r="A70" s="83" t="s">
        <v>308</v>
      </c>
      <c r="B70" s="59">
        <v>551</v>
      </c>
      <c r="C70" s="60">
        <f>VLOOKUP(A70,'2013 TY O&amp;M Exp(RIS)'!$A$5:$C$181,3,FALSE)</f>
        <v>9045676</v>
      </c>
      <c r="D70" s="60"/>
      <c r="E70" s="60">
        <f t="shared" si="10"/>
        <v>9045676</v>
      </c>
      <c r="F70" s="60"/>
      <c r="G70" s="60">
        <f t="shared" si="11"/>
        <v>9045676</v>
      </c>
      <c r="H70" s="5"/>
      <c r="I70" s="5"/>
      <c r="J70" s="5">
        <f t="shared" si="12"/>
        <v>9045676</v>
      </c>
    </row>
    <row r="71" spans="1:10" ht="20.25">
      <c r="A71" s="83" t="s">
        <v>309</v>
      </c>
      <c r="B71" s="59">
        <v>551</v>
      </c>
      <c r="C71" s="60">
        <f>VLOOKUP(A71,'2013 TY O&amp;M Exp(RIS)'!$A$5:$C$181,3,FALSE)</f>
        <v>293727.96</v>
      </c>
      <c r="D71" s="60">
        <f>-C71</f>
        <v>-293727.96</v>
      </c>
      <c r="E71" s="60">
        <f t="shared" si="10"/>
        <v>0</v>
      </c>
      <c r="F71" s="60"/>
      <c r="G71" s="60">
        <f t="shared" si="11"/>
        <v>0</v>
      </c>
      <c r="H71" s="5"/>
      <c r="I71" s="5"/>
      <c r="J71" s="5">
        <f t="shared" si="12"/>
        <v>0</v>
      </c>
    </row>
    <row r="72" spans="1:10" ht="9.75">
      <c r="A72" s="83" t="s">
        <v>62</v>
      </c>
      <c r="B72" s="59">
        <v>552</v>
      </c>
      <c r="C72" s="60">
        <f>VLOOKUP(A72,'2013 TY O&amp;M Exp(RIS)'!$A$5:$C$181,3,FALSE)</f>
        <v>11292081.46</v>
      </c>
      <c r="D72" s="60"/>
      <c r="E72" s="60">
        <f t="shared" si="10"/>
        <v>11292081.46</v>
      </c>
      <c r="F72" s="60"/>
      <c r="G72" s="60">
        <f t="shared" si="11"/>
        <v>11292081.46</v>
      </c>
      <c r="H72" s="5"/>
      <c r="I72" s="5"/>
      <c r="J72" s="5">
        <f t="shared" si="12"/>
        <v>11292081.46</v>
      </c>
    </row>
    <row r="73" spans="1:10" ht="9.75">
      <c r="A73" s="83" t="s">
        <v>63</v>
      </c>
      <c r="B73" s="59">
        <v>552</v>
      </c>
      <c r="C73" s="60">
        <f>VLOOKUP(A73,'2013 TY O&amp;M Exp(RIS)'!$A$5:$C$181,3,FALSE)</f>
        <v>209269.47</v>
      </c>
      <c r="D73" s="60">
        <f>-C73</f>
        <v>-209269.47</v>
      </c>
      <c r="E73" s="60">
        <f t="shared" si="10"/>
        <v>0</v>
      </c>
      <c r="F73" s="60"/>
      <c r="G73" s="60">
        <f t="shared" si="11"/>
        <v>0</v>
      </c>
      <c r="H73" s="5"/>
      <c r="I73" s="5"/>
      <c r="J73" s="5">
        <f t="shared" si="12"/>
        <v>0</v>
      </c>
    </row>
    <row r="74" spans="1:10" ht="20.25">
      <c r="A74" s="83" t="s">
        <v>310</v>
      </c>
      <c r="B74" s="59">
        <v>553</v>
      </c>
      <c r="C74" s="60">
        <f>VLOOKUP(A74,'2013 TY O&amp;M Exp(RIS)'!$A$5:$C$181,3,FALSE)</f>
        <v>70892244.22</v>
      </c>
      <c r="D74" s="60"/>
      <c r="E74" s="60">
        <f t="shared" si="10"/>
        <v>70892244.22</v>
      </c>
      <c r="F74" s="60"/>
      <c r="G74" s="60">
        <f t="shared" si="11"/>
        <v>70892244.22</v>
      </c>
      <c r="H74" s="5"/>
      <c r="I74" s="5"/>
      <c r="J74" s="5">
        <f t="shared" si="12"/>
        <v>70892244.22</v>
      </c>
    </row>
    <row r="75" spans="1:10" ht="9.75">
      <c r="A75" s="83" t="s">
        <v>65</v>
      </c>
      <c r="B75" s="59">
        <v>553</v>
      </c>
      <c r="C75" s="60">
        <v>0</v>
      </c>
      <c r="D75" s="60"/>
      <c r="E75" s="60">
        <f>+C75+D75</f>
        <v>0</v>
      </c>
      <c r="F75" s="60"/>
      <c r="G75" s="60">
        <f>+E75+F75</f>
        <v>0</v>
      </c>
      <c r="H75" s="5"/>
      <c r="I75" s="5"/>
      <c r="J75" s="5">
        <f t="shared" si="12"/>
        <v>0</v>
      </c>
    </row>
    <row r="76" spans="1:10" ht="9.75">
      <c r="A76" s="83" t="s">
        <v>66</v>
      </c>
      <c r="B76" s="59">
        <v>553</v>
      </c>
      <c r="C76" s="60">
        <f>VLOOKUP(A76,'2013 TY O&amp;M Exp(RIS)'!$A$5:$C$181,3,FALSE)</f>
        <v>3167257.01</v>
      </c>
      <c r="D76" s="60">
        <f>-C76</f>
        <v>-3167257.01</v>
      </c>
      <c r="E76" s="60">
        <f t="shared" si="10"/>
        <v>0</v>
      </c>
      <c r="F76" s="60"/>
      <c r="G76" s="60">
        <f t="shared" si="11"/>
        <v>0</v>
      </c>
      <c r="H76" s="5"/>
      <c r="I76" s="5"/>
      <c r="J76" s="5">
        <f t="shared" si="12"/>
        <v>0</v>
      </c>
    </row>
    <row r="77" spans="1:10" ht="20.25">
      <c r="A77" s="83" t="s">
        <v>311</v>
      </c>
      <c r="B77" s="59">
        <v>554</v>
      </c>
      <c r="C77" s="60">
        <f>VLOOKUP(A77,'2013 TY O&amp;M Exp(RIS)'!$A$5:$C$181,3,FALSE)</f>
        <v>4837951.67</v>
      </c>
      <c r="D77" s="60"/>
      <c r="E77" s="60">
        <f t="shared" si="10"/>
        <v>4837951.67</v>
      </c>
      <c r="F77" s="60"/>
      <c r="G77" s="60">
        <f>+E77+F77</f>
        <v>4837951.67</v>
      </c>
      <c r="H77" s="5"/>
      <c r="I77" s="5"/>
      <c r="J77" s="5">
        <f t="shared" si="12"/>
        <v>4837951.67</v>
      </c>
    </row>
    <row r="78" spans="1:10" ht="9.75">
      <c r="A78" s="83" t="s">
        <v>68</v>
      </c>
      <c r="B78" s="59">
        <v>554</v>
      </c>
      <c r="C78" s="60">
        <f>VLOOKUP(A78,'2013 TY O&amp;M Exp(RIS)'!$A$5:$C$181,3,FALSE)</f>
        <v>33179.46</v>
      </c>
      <c r="D78" s="60">
        <f>-C78</f>
        <v>-33179.46</v>
      </c>
      <c r="E78" s="60">
        <f>+C78+D78</f>
        <v>0</v>
      </c>
      <c r="F78" s="60"/>
      <c r="G78" s="60">
        <f>+E78+F78</f>
        <v>0</v>
      </c>
      <c r="H78" s="5"/>
      <c r="I78" s="5"/>
      <c r="J78" s="5">
        <f t="shared" si="12"/>
        <v>0</v>
      </c>
    </row>
    <row r="79" spans="1:10" ht="9.75">
      <c r="A79" s="83" t="s">
        <v>314</v>
      </c>
      <c r="B79" s="59">
        <v>557</v>
      </c>
      <c r="C79" s="60">
        <f>VLOOKUP(A79,'2013 TY O&amp;M Exp(RIS)'!$A$5:$C$181,3,FALSE)</f>
        <v>39942773.55</v>
      </c>
      <c r="D79" s="60">
        <f>-C79</f>
        <v>-39942773.55</v>
      </c>
      <c r="E79" s="60">
        <f>+C79+D79</f>
        <v>0</v>
      </c>
      <c r="F79" s="60"/>
      <c r="G79" s="60">
        <f>+E79+F79</f>
        <v>0</v>
      </c>
      <c r="H79" s="5"/>
      <c r="I79" s="5"/>
      <c r="J79" s="5">
        <f t="shared" si="12"/>
        <v>0</v>
      </c>
    </row>
    <row r="80" spans="1:10" ht="10.5" thickBot="1">
      <c r="A80" s="83" t="s">
        <v>79</v>
      </c>
      <c r="B80" s="59">
        <v>557</v>
      </c>
      <c r="C80" s="60">
        <f>VLOOKUP(A80,'2013 TY O&amp;M Exp(RIS)'!$A$5:$C$181,3,FALSE)</f>
        <v>97305661.93</v>
      </c>
      <c r="D80" s="61">
        <f>-C80</f>
        <v>-97305661.93</v>
      </c>
      <c r="E80" s="61">
        <f>+C80+D80</f>
        <v>0</v>
      </c>
      <c r="F80" s="61"/>
      <c r="G80" s="61">
        <f>+E80+F80</f>
        <v>0</v>
      </c>
      <c r="H80" s="5"/>
      <c r="I80" s="5"/>
      <c r="J80" s="5">
        <f t="shared" si="12"/>
        <v>0</v>
      </c>
    </row>
    <row r="81" spans="1:10" ht="9.75">
      <c r="A81" s="83" t="s">
        <v>69</v>
      </c>
      <c r="B81" s="59"/>
      <c r="C81" s="60">
        <f aca="true" t="shared" si="13" ref="C81:J81">SUM(C60:C80)</f>
        <v>2631268646.14</v>
      </c>
      <c r="D81" s="60">
        <f t="shared" si="13"/>
        <v>-2467947267.69</v>
      </c>
      <c r="E81" s="60">
        <f t="shared" si="13"/>
        <v>163321378.45</v>
      </c>
      <c r="F81" s="60">
        <f t="shared" si="13"/>
        <v>-2177973.51</v>
      </c>
      <c r="G81" s="70">
        <f t="shared" si="13"/>
        <v>161143404.94</v>
      </c>
      <c r="H81" s="6">
        <f t="shared" si="13"/>
        <v>0</v>
      </c>
      <c r="I81" s="6">
        <f t="shared" si="13"/>
        <v>0</v>
      </c>
      <c r="J81" s="19">
        <f t="shared" si="13"/>
        <v>161143404.94</v>
      </c>
    </row>
    <row r="82" spans="1:10" ht="6" customHeight="1">
      <c r="A82" s="83"/>
      <c r="B82" s="59"/>
      <c r="C82" s="60"/>
      <c r="D82" s="60"/>
      <c r="E82" s="60"/>
      <c r="F82" s="60"/>
      <c r="G82" s="60"/>
      <c r="H82" s="5"/>
      <c r="I82" s="5"/>
      <c r="J82" s="5"/>
    </row>
    <row r="83" spans="1:10" ht="10.5" thickBot="1">
      <c r="A83" s="84" t="s">
        <v>70</v>
      </c>
      <c r="B83" s="59"/>
      <c r="C83" s="60"/>
      <c r="D83" s="60"/>
      <c r="E83" s="60"/>
      <c r="F83" s="60"/>
      <c r="G83" s="60"/>
      <c r="H83" s="5"/>
      <c r="I83" s="5"/>
      <c r="J83" s="5"/>
    </row>
    <row r="84" spans="1:10" ht="9.75">
      <c r="A84" s="83" t="s">
        <v>312</v>
      </c>
      <c r="B84" s="59">
        <v>555</v>
      </c>
      <c r="C84" s="60">
        <f>VLOOKUP(A84,'2013 TY O&amp;M Exp(RIS)'!$A$5:$C$181,3,FALSE)</f>
        <v>467170233.05</v>
      </c>
      <c r="D84" s="60">
        <f>-C84</f>
        <v>-467170233.05</v>
      </c>
      <c r="E84" s="60">
        <f aca="true" t="shared" si="14" ref="E84:E92">+C84+D84</f>
        <v>0</v>
      </c>
      <c r="F84" s="60"/>
      <c r="G84" s="60">
        <f aca="true" t="shared" si="15" ref="G84:G92">+E84+F84</f>
        <v>0</v>
      </c>
      <c r="H84" s="5"/>
      <c r="I84" s="5"/>
      <c r="J84" s="5">
        <f aca="true" t="shared" si="16" ref="J84:J92">G84+H84+I84</f>
        <v>0</v>
      </c>
    </row>
    <row r="85" spans="1:10" ht="9.75">
      <c r="A85" s="83" t="s">
        <v>72</v>
      </c>
      <c r="B85" s="59">
        <v>555</v>
      </c>
      <c r="C85" s="60">
        <f>VLOOKUP(A85,'2013 TY O&amp;M Exp(RIS)'!$A$5:$C$181,3,FALSE)</f>
        <v>0</v>
      </c>
      <c r="D85" s="60"/>
      <c r="E85" s="60">
        <f>+C85+D85</f>
        <v>0</v>
      </c>
      <c r="F85" s="60"/>
      <c r="G85" s="60">
        <f>+E85+F85</f>
        <v>0</v>
      </c>
      <c r="H85" s="5"/>
      <c r="I85" s="5"/>
      <c r="J85" s="5">
        <f t="shared" si="16"/>
        <v>0</v>
      </c>
    </row>
    <row r="86" spans="1:10" ht="9.75">
      <c r="A86" s="83" t="s">
        <v>73</v>
      </c>
      <c r="B86" s="59">
        <v>555</v>
      </c>
      <c r="C86" s="60">
        <f>VLOOKUP(A86,'2013 TY O&amp;M Exp(RIS)'!$A$5:$C$181,3,FALSE)</f>
        <v>0</v>
      </c>
      <c r="D86" s="60"/>
      <c r="E86" s="60">
        <f>+C86+D86</f>
        <v>0</v>
      </c>
      <c r="F86" s="60"/>
      <c r="G86" s="60">
        <f>+E86+F86</f>
        <v>0</v>
      </c>
      <c r="H86" s="5"/>
      <c r="I86" s="5"/>
      <c r="J86" s="5">
        <f t="shared" si="16"/>
        <v>0</v>
      </c>
    </row>
    <row r="87" spans="1:10" ht="9.75">
      <c r="A87" s="83" t="s">
        <v>74</v>
      </c>
      <c r="B87" s="59">
        <v>555</v>
      </c>
      <c r="C87" s="60">
        <f>VLOOKUP(A87,'2013 TY O&amp;M Exp(RIS)'!$A$5:$C$181,3,FALSE)</f>
        <v>496239809</v>
      </c>
      <c r="D87" s="60">
        <f>-C87</f>
        <v>-496239809</v>
      </c>
      <c r="E87" s="60">
        <f>+C87+D87</f>
        <v>0</v>
      </c>
      <c r="F87" s="60"/>
      <c r="G87" s="60">
        <f>+E87+F87</f>
        <v>0</v>
      </c>
      <c r="H87" s="5"/>
      <c r="I87" s="5"/>
      <c r="J87" s="5">
        <f t="shared" si="16"/>
        <v>0</v>
      </c>
    </row>
    <row r="88" spans="1:10" ht="9.75">
      <c r="A88" s="83" t="s">
        <v>75</v>
      </c>
      <c r="B88" s="59">
        <v>555</v>
      </c>
      <c r="C88" s="60">
        <f>VLOOKUP(A88,'2013 TY O&amp;M Exp(RIS)'!$A$5:$C$181,3,FALSE)</f>
        <v>0</v>
      </c>
      <c r="D88" s="60"/>
      <c r="E88" s="60">
        <f>+C88+D88</f>
        <v>0</v>
      </c>
      <c r="F88" s="60"/>
      <c r="G88" s="60">
        <f>+E88+F88</f>
        <v>0</v>
      </c>
      <c r="H88" s="5"/>
      <c r="I88" s="5"/>
      <c r="J88" s="5">
        <f t="shared" si="16"/>
        <v>0</v>
      </c>
    </row>
    <row r="89" spans="1:10" ht="9.75">
      <c r="A89" s="83" t="s">
        <v>313</v>
      </c>
      <c r="B89" s="59">
        <v>556</v>
      </c>
      <c r="C89" s="60">
        <f>VLOOKUP(A89,'2013 TY O&amp;M Exp(RIS)'!$A$5:$C$181,3,FALSE)</f>
        <v>3338175.28</v>
      </c>
      <c r="D89" s="60"/>
      <c r="E89" s="60">
        <f t="shared" si="14"/>
        <v>3338175.28</v>
      </c>
      <c r="F89" s="60"/>
      <c r="G89" s="60">
        <f t="shared" si="15"/>
        <v>3338175.28</v>
      </c>
      <c r="H89" s="5"/>
      <c r="I89" s="5"/>
      <c r="J89" s="5">
        <f t="shared" si="16"/>
        <v>3338175.28</v>
      </c>
    </row>
    <row r="90" spans="1:10" ht="9.75">
      <c r="A90" s="83" t="s">
        <v>77</v>
      </c>
      <c r="B90" s="59">
        <v>557</v>
      </c>
      <c r="C90" s="60">
        <f>VLOOKUP(A90,'2013 TY O&amp;M Exp(RIS)'!$A$5:$C$181,3,FALSE)</f>
        <v>2961018.28</v>
      </c>
      <c r="D90" s="60"/>
      <c r="E90" s="60">
        <f t="shared" si="14"/>
        <v>2961018.28</v>
      </c>
      <c r="F90" s="60"/>
      <c r="G90" s="60">
        <f t="shared" si="15"/>
        <v>2961018.28</v>
      </c>
      <c r="H90" s="5"/>
      <c r="I90" s="5"/>
      <c r="J90" s="5">
        <f t="shared" si="16"/>
        <v>2961018.28</v>
      </c>
    </row>
    <row r="91" spans="1:10" ht="9.75">
      <c r="A91" s="83" t="s">
        <v>80</v>
      </c>
      <c r="B91" s="59">
        <v>557</v>
      </c>
      <c r="C91" s="60">
        <f>VLOOKUP(A91,'2013 TY O&amp;M Exp(RIS)'!$A$5:$C$181,3,FALSE)</f>
        <v>0</v>
      </c>
      <c r="D91" s="60">
        <f>-C91</f>
        <v>0</v>
      </c>
      <c r="E91" s="60">
        <f t="shared" si="14"/>
        <v>0</v>
      </c>
      <c r="F91" s="60"/>
      <c r="G91" s="60">
        <f t="shared" si="15"/>
        <v>0</v>
      </c>
      <c r="H91" s="5"/>
      <c r="I91" s="5"/>
      <c r="J91" s="5">
        <f t="shared" si="16"/>
        <v>0</v>
      </c>
    </row>
    <row r="92" spans="1:10" ht="10.5" thickBot="1">
      <c r="A92" s="83" t="s">
        <v>315</v>
      </c>
      <c r="B92" s="59">
        <v>557</v>
      </c>
      <c r="C92" s="60">
        <f>VLOOKUP(A92,'2013 TY O&amp;M Exp(RIS)'!$A$5:$C$181,3,FALSE)</f>
        <v>0</v>
      </c>
      <c r="D92" s="61">
        <f>-C92</f>
        <v>0</v>
      </c>
      <c r="E92" s="61">
        <f t="shared" si="14"/>
        <v>0</v>
      </c>
      <c r="F92" s="61"/>
      <c r="G92" s="61">
        <f t="shared" si="15"/>
        <v>0</v>
      </c>
      <c r="H92" s="5"/>
      <c r="I92" s="5"/>
      <c r="J92" s="5">
        <f t="shared" si="16"/>
        <v>0</v>
      </c>
    </row>
    <row r="93" spans="1:10" ht="9.75">
      <c r="A93" s="83" t="s">
        <v>82</v>
      </c>
      <c r="B93" s="59"/>
      <c r="C93" s="60">
        <f aca="true" t="shared" si="17" ref="C93:J93">SUM(C84:C92)</f>
        <v>969709235.6099999</v>
      </c>
      <c r="D93" s="60">
        <f t="shared" si="17"/>
        <v>-963410042.05</v>
      </c>
      <c r="E93" s="60">
        <f t="shared" si="17"/>
        <v>6299193.56</v>
      </c>
      <c r="F93" s="60">
        <f t="shared" si="17"/>
        <v>0</v>
      </c>
      <c r="G93" s="70">
        <f t="shared" si="17"/>
        <v>6299193.56</v>
      </c>
      <c r="H93" s="6">
        <f t="shared" si="17"/>
        <v>0</v>
      </c>
      <c r="I93" s="6">
        <f t="shared" si="17"/>
        <v>0</v>
      </c>
      <c r="J93" s="19">
        <f t="shared" si="17"/>
        <v>6299193.56</v>
      </c>
    </row>
    <row r="94" spans="1:10" ht="9.75">
      <c r="A94" s="83"/>
      <c r="B94" s="59"/>
      <c r="C94" s="60">
        <f>+C93+C81</f>
        <v>3600977881.75</v>
      </c>
      <c r="D94" s="60">
        <f>+D93+D81</f>
        <v>-3431357309.74</v>
      </c>
      <c r="E94" s="60"/>
      <c r="F94" s="60"/>
      <c r="G94" s="60"/>
      <c r="H94" s="5"/>
      <c r="I94" s="5"/>
      <c r="J94" s="5"/>
    </row>
    <row r="95" spans="1:10" ht="5.25" customHeight="1">
      <c r="A95" s="83"/>
      <c r="B95" s="59"/>
      <c r="C95" s="60"/>
      <c r="D95" s="60"/>
      <c r="E95" s="60"/>
      <c r="F95" s="60"/>
      <c r="G95" s="60"/>
      <c r="H95" s="5"/>
      <c r="I95" s="5"/>
      <c r="J95" s="5"/>
    </row>
    <row r="96" spans="1:10" ht="10.5" thickBot="1">
      <c r="A96" s="84" t="s">
        <v>83</v>
      </c>
      <c r="B96" s="59"/>
      <c r="C96" s="60"/>
      <c r="D96" s="60"/>
      <c r="E96" s="60"/>
      <c r="F96" s="60"/>
      <c r="G96" s="60"/>
      <c r="H96" s="5"/>
      <c r="I96" s="5"/>
      <c r="J96" s="5"/>
    </row>
    <row r="97" spans="1:10" ht="9.75">
      <c r="A97" s="83" t="s">
        <v>84</v>
      </c>
      <c r="B97" s="59">
        <v>560</v>
      </c>
      <c r="C97" s="60">
        <f>VLOOKUP(A97,'2013 TY O&amp;M Exp(RIS)'!$A$5:$C$181,3,FALSE)</f>
        <v>7779252.96</v>
      </c>
      <c r="D97" s="60"/>
      <c r="E97" s="60">
        <f aca="true" t="shared" si="18" ref="E97:E116">+C97+D97</f>
        <v>7779252.96</v>
      </c>
      <c r="F97" s="60"/>
      <c r="G97" s="60">
        <f aca="true" t="shared" si="19" ref="G97:G116">+E97+F97</f>
        <v>7779252.96</v>
      </c>
      <c r="H97" s="5"/>
      <c r="I97" s="5"/>
      <c r="J97" s="5">
        <f aca="true" t="shared" si="20" ref="J97:J116">G97+H97+I97</f>
        <v>7779252.96</v>
      </c>
    </row>
    <row r="98" spans="1:10" ht="9.75">
      <c r="A98" s="83" t="s">
        <v>85</v>
      </c>
      <c r="B98" s="59">
        <v>561</v>
      </c>
      <c r="C98" s="60">
        <f>VLOOKUP(A98,'2013 TY O&amp;M Exp(RIS)'!$A$5:$C$181,3,FALSE)</f>
        <v>4866101.12</v>
      </c>
      <c r="D98" s="60"/>
      <c r="E98" s="60">
        <f t="shared" si="18"/>
        <v>4866101.12</v>
      </c>
      <c r="F98" s="60"/>
      <c r="G98" s="60">
        <f t="shared" si="19"/>
        <v>4866101.12</v>
      </c>
      <c r="H98" s="5"/>
      <c r="I98" s="5"/>
      <c r="J98" s="5">
        <f t="shared" si="20"/>
        <v>4866101.12</v>
      </c>
    </row>
    <row r="99" spans="1:10" ht="9.75">
      <c r="A99" s="83" t="s">
        <v>86</v>
      </c>
      <c r="B99" s="59">
        <v>562</v>
      </c>
      <c r="C99" s="60">
        <f>VLOOKUP(A99,'2013 TY O&amp;M Exp(RIS)'!$A$5:$C$181,3,FALSE)</f>
        <v>1675447.19</v>
      </c>
      <c r="D99" s="60"/>
      <c r="E99" s="60">
        <f t="shared" si="18"/>
        <v>1675447.19</v>
      </c>
      <c r="F99" s="60"/>
      <c r="G99" s="60">
        <f t="shared" si="19"/>
        <v>1675447.19</v>
      </c>
      <c r="H99" s="5"/>
      <c r="I99" s="5"/>
      <c r="J99" s="5">
        <f t="shared" si="20"/>
        <v>1675447.19</v>
      </c>
    </row>
    <row r="100" spans="1:10" ht="9.75">
      <c r="A100" s="83" t="s">
        <v>87</v>
      </c>
      <c r="B100" s="59">
        <v>562</v>
      </c>
      <c r="C100" s="60">
        <f>VLOOKUP(A100,'2013 TY O&amp;M Exp(RIS)'!$A$5:$C$181,3,FALSE)</f>
        <v>0</v>
      </c>
      <c r="D100" s="60"/>
      <c r="E100" s="60">
        <f>+C100+D100</f>
        <v>0</v>
      </c>
      <c r="F100" s="60"/>
      <c r="G100" s="60">
        <f>+E100+F100</f>
        <v>0</v>
      </c>
      <c r="H100" s="5"/>
      <c r="I100" s="5"/>
      <c r="J100" s="5">
        <f t="shared" si="20"/>
        <v>0</v>
      </c>
    </row>
    <row r="101" spans="1:10" ht="9.75">
      <c r="A101" s="83" t="s">
        <v>88</v>
      </c>
      <c r="B101" s="59">
        <v>563</v>
      </c>
      <c r="C101" s="60">
        <f>VLOOKUP(A101,'2013 TY O&amp;M Exp(RIS)'!$A$5:$C$181,3,FALSE)</f>
        <v>1197464.37</v>
      </c>
      <c r="D101" s="60"/>
      <c r="E101" s="60">
        <f t="shared" si="18"/>
        <v>1197464.37</v>
      </c>
      <c r="F101" s="60"/>
      <c r="G101" s="60">
        <f t="shared" si="19"/>
        <v>1197464.37</v>
      </c>
      <c r="H101" s="5"/>
      <c r="I101" s="5"/>
      <c r="J101" s="5">
        <f t="shared" si="20"/>
        <v>1197464.37</v>
      </c>
    </row>
    <row r="102" spans="1:10" ht="9.75">
      <c r="A102" s="83" t="s">
        <v>89</v>
      </c>
      <c r="B102" s="59">
        <v>564</v>
      </c>
      <c r="C102" s="60">
        <f>VLOOKUP(A102,'2013 TY O&amp;M Exp(RIS)'!$A$5:$C$181,3,FALSE)</f>
        <v>0</v>
      </c>
      <c r="D102" s="60"/>
      <c r="E102" s="60">
        <f>+C102+D102</f>
        <v>0</v>
      </c>
      <c r="F102" s="60"/>
      <c r="G102" s="60">
        <f>+E102+F102</f>
        <v>0</v>
      </c>
      <c r="H102" s="5"/>
      <c r="I102" s="5"/>
      <c r="J102" s="5">
        <f t="shared" si="20"/>
        <v>0</v>
      </c>
    </row>
    <row r="103" spans="1:10" ht="9.75">
      <c r="A103" s="83" t="s">
        <v>316</v>
      </c>
      <c r="B103" s="59">
        <v>565</v>
      </c>
      <c r="C103" s="60">
        <f>VLOOKUP(A103,'2013 TY O&amp;M Exp(RIS)'!$A$5:$C$181,3,FALSE)</f>
        <v>15038364</v>
      </c>
      <c r="D103" s="60"/>
      <c r="E103" s="60">
        <f t="shared" si="18"/>
        <v>15038364</v>
      </c>
      <c r="F103" s="60">
        <f>-E103</f>
        <v>-15038364</v>
      </c>
      <c r="G103" s="60">
        <f t="shared" si="19"/>
        <v>0</v>
      </c>
      <c r="H103" s="5"/>
      <c r="I103" s="5"/>
      <c r="J103" s="5">
        <f t="shared" si="20"/>
        <v>0</v>
      </c>
    </row>
    <row r="104" spans="1:10" ht="9.75">
      <c r="A104" s="83" t="s">
        <v>91</v>
      </c>
      <c r="B104" s="59">
        <v>565</v>
      </c>
      <c r="C104" s="60">
        <f>VLOOKUP(A104,'2013 TY O&amp;M Exp(RIS)'!$A$5:$C$181,3,FALSE)</f>
        <v>3</v>
      </c>
      <c r="D104" s="60">
        <f>-C104</f>
        <v>-3</v>
      </c>
      <c r="E104" s="60">
        <f t="shared" si="18"/>
        <v>0</v>
      </c>
      <c r="F104" s="60"/>
      <c r="G104" s="60">
        <f t="shared" si="19"/>
        <v>0</v>
      </c>
      <c r="H104" s="5"/>
      <c r="I104" s="5"/>
      <c r="J104" s="5">
        <f t="shared" si="20"/>
        <v>0</v>
      </c>
    </row>
    <row r="105" spans="1:10" ht="9.75">
      <c r="A105" s="83" t="s">
        <v>92</v>
      </c>
      <c r="B105" s="59">
        <v>565</v>
      </c>
      <c r="C105" s="60">
        <f>VLOOKUP(A105,'2013 TY O&amp;M Exp(RIS)'!$A$5:$C$181,3,FALSE)</f>
        <v>5995701.87</v>
      </c>
      <c r="D105" s="60">
        <f>-C105</f>
        <v>-5995701.87</v>
      </c>
      <c r="E105" s="60">
        <f t="shared" si="18"/>
        <v>0</v>
      </c>
      <c r="F105" s="60"/>
      <c r="G105" s="60">
        <f t="shared" si="19"/>
        <v>0</v>
      </c>
      <c r="H105" s="5"/>
      <c r="I105" s="5"/>
      <c r="J105" s="5">
        <f t="shared" si="20"/>
        <v>0</v>
      </c>
    </row>
    <row r="106" spans="1:10" ht="9.75">
      <c r="A106" s="83" t="s">
        <v>93</v>
      </c>
      <c r="B106" s="59">
        <v>565</v>
      </c>
      <c r="C106" s="60">
        <f>VLOOKUP(A106,'2013 TY O&amp;M Exp(RIS)'!$A$5:$C$181,3,FALSE)</f>
        <v>0</v>
      </c>
      <c r="D106" s="60"/>
      <c r="E106" s="60">
        <f>+C106+D106</f>
        <v>0</v>
      </c>
      <c r="F106" s="60"/>
      <c r="G106" s="60">
        <f>+E106+F106</f>
        <v>0</v>
      </c>
      <c r="H106" s="5"/>
      <c r="I106" s="5"/>
      <c r="J106" s="5">
        <f t="shared" si="20"/>
        <v>0</v>
      </c>
    </row>
    <row r="107" spans="1:10" ht="9.75">
      <c r="A107" s="83" t="s">
        <v>94</v>
      </c>
      <c r="B107" s="59">
        <v>566</v>
      </c>
      <c r="C107" s="60">
        <f>VLOOKUP(A107,'2013 TY O&amp;M Exp(RIS)'!$A$5:$C$181,3,FALSE)</f>
        <v>4658790.88</v>
      </c>
      <c r="D107" s="60"/>
      <c r="E107" s="60">
        <f t="shared" si="18"/>
        <v>4658790.88</v>
      </c>
      <c r="F107" s="60"/>
      <c r="G107" s="60">
        <f t="shared" si="19"/>
        <v>4658790.88</v>
      </c>
      <c r="H107" s="5"/>
      <c r="I107" s="5"/>
      <c r="J107" s="5">
        <f t="shared" si="20"/>
        <v>4658790.88</v>
      </c>
    </row>
    <row r="108" spans="1:10" ht="9.75">
      <c r="A108" s="83" t="s">
        <v>95</v>
      </c>
      <c r="B108" s="59">
        <v>567</v>
      </c>
      <c r="C108" s="60">
        <f>VLOOKUP(A108,'2013 TY O&amp;M Exp(RIS)'!$A$5:$C$181,3,FALSE)</f>
        <v>0</v>
      </c>
      <c r="D108" s="60"/>
      <c r="E108" s="60">
        <f t="shared" si="18"/>
        <v>0</v>
      </c>
      <c r="F108" s="60"/>
      <c r="G108" s="60">
        <f t="shared" si="19"/>
        <v>0</v>
      </c>
      <c r="H108" s="5"/>
      <c r="I108" s="5"/>
      <c r="J108" s="5">
        <f t="shared" si="20"/>
        <v>0</v>
      </c>
    </row>
    <row r="109" spans="1:10" ht="9.75">
      <c r="A109" s="83" t="s">
        <v>96</v>
      </c>
      <c r="B109" s="59">
        <v>568</v>
      </c>
      <c r="C109" s="60">
        <f>VLOOKUP(A109,'2013 TY O&amp;M Exp(RIS)'!$A$5:$C$181,3,FALSE)</f>
        <v>914794.69</v>
      </c>
      <c r="D109" s="60"/>
      <c r="E109" s="60">
        <f t="shared" si="18"/>
        <v>914794.69</v>
      </c>
      <c r="F109" s="60"/>
      <c r="G109" s="60">
        <f t="shared" si="19"/>
        <v>914794.69</v>
      </c>
      <c r="H109" s="5"/>
      <c r="I109" s="5"/>
      <c r="J109" s="5">
        <f t="shared" si="20"/>
        <v>914794.69</v>
      </c>
    </row>
    <row r="110" spans="1:10" ht="9.75">
      <c r="A110" s="83" t="s">
        <v>97</v>
      </c>
      <c r="B110" s="59">
        <v>569</v>
      </c>
      <c r="C110" s="60">
        <f>VLOOKUP(A110,'2013 TY O&amp;M Exp(RIS)'!$A$5:$C$181,3,FALSE)</f>
        <v>6283359.03</v>
      </c>
      <c r="D110" s="60"/>
      <c r="E110" s="60">
        <f t="shared" si="18"/>
        <v>6283359.03</v>
      </c>
      <c r="F110" s="60"/>
      <c r="G110" s="60">
        <f t="shared" si="19"/>
        <v>6283359.03</v>
      </c>
      <c r="H110" s="5"/>
      <c r="I110" s="5"/>
      <c r="J110" s="5">
        <f t="shared" si="20"/>
        <v>6283359.03</v>
      </c>
    </row>
    <row r="111" spans="1:10" ht="9.75">
      <c r="A111" s="83" t="s">
        <v>98</v>
      </c>
      <c r="B111" s="59">
        <v>570</v>
      </c>
      <c r="C111" s="60">
        <f>VLOOKUP(A111,'2013 TY O&amp;M Exp(RIS)'!$A$5:$C$181,3,FALSE)</f>
        <v>5770250.69</v>
      </c>
      <c r="D111" s="60"/>
      <c r="E111" s="60">
        <f t="shared" si="18"/>
        <v>5770250.69</v>
      </c>
      <c r="F111" s="60"/>
      <c r="G111" s="60">
        <f t="shared" si="19"/>
        <v>5770250.69</v>
      </c>
      <c r="H111" s="5"/>
      <c r="I111" s="5"/>
      <c r="J111" s="5">
        <f t="shared" si="20"/>
        <v>5770250.69</v>
      </c>
    </row>
    <row r="112" spans="1:10" ht="9.75">
      <c r="A112" s="83" t="s">
        <v>99</v>
      </c>
      <c r="B112" s="59">
        <v>570</v>
      </c>
      <c r="C112" s="60">
        <f>VLOOKUP(A112,'2013 TY O&amp;M Exp(RIS)'!$A$5:$C$181,3,FALSE)</f>
        <v>0</v>
      </c>
      <c r="D112" s="60"/>
      <c r="E112" s="60"/>
      <c r="F112" s="60"/>
      <c r="G112" s="60"/>
      <c r="H112" s="5"/>
      <c r="I112" s="5"/>
      <c r="J112" s="5">
        <f t="shared" si="20"/>
        <v>0</v>
      </c>
    </row>
    <row r="113" spans="1:10" ht="9.75">
      <c r="A113" s="83" t="s">
        <v>100</v>
      </c>
      <c r="B113" s="59">
        <v>570</v>
      </c>
      <c r="C113" s="60">
        <f>VLOOKUP(A113,'2013 TY O&amp;M Exp(RIS)'!$A$5:$C$181,3,FALSE)</f>
        <v>920105</v>
      </c>
      <c r="D113" s="60">
        <f>-C113</f>
        <v>-920105</v>
      </c>
      <c r="E113" s="60">
        <f t="shared" si="18"/>
        <v>0</v>
      </c>
      <c r="F113" s="60"/>
      <c r="G113" s="60">
        <f t="shared" si="19"/>
        <v>0</v>
      </c>
      <c r="H113" s="5"/>
      <c r="I113" s="5"/>
      <c r="J113" s="5">
        <f t="shared" si="20"/>
        <v>0</v>
      </c>
    </row>
    <row r="114" spans="1:10" ht="9.75">
      <c r="A114" s="83" t="s">
        <v>101</v>
      </c>
      <c r="B114" s="59">
        <v>571</v>
      </c>
      <c r="C114" s="60">
        <f>VLOOKUP(A114,'2013 TY O&amp;M Exp(RIS)'!$A$5:$C$181,3,FALSE)</f>
        <v>12247360.66</v>
      </c>
      <c r="D114" s="60"/>
      <c r="E114" s="60">
        <f t="shared" si="18"/>
        <v>12247360.66</v>
      </c>
      <c r="F114" s="60"/>
      <c r="G114" s="60">
        <f t="shared" si="19"/>
        <v>12247360.66</v>
      </c>
      <c r="H114" s="5"/>
      <c r="I114" s="5"/>
      <c r="J114" s="5">
        <f t="shared" si="20"/>
        <v>12247360.66</v>
      </c>
    </row>
    <row r="115" spans="1:10" ht="9.75">
      <c r="A115" s="83" t="s">
        <v>102</v>
      </c>
      <c r="B115" s="59">
        <v>572</v>
      </c>
      <c r="C115" s="60">
        <f>VLOOKUP(A115,'2013 TY O&amp;M Exp(RIS)'!$A$5:$C$181,3,FALSE)</f>
        <v>1254068.79</v>
      </c>
      <c r="D115" s="60"/>
      <c r="E115" s="60">
        <f>+C115+D115</f>
        <v>1254068.79</v>
      </c>
      <c r="F115" s="60"/>
      <c r="G115" s="60">
        <f>+E115+F115</f>
        <v>1254068.79</v>
      </c>
      <c r="H115" s="5"/>
      <c r="I115" s="5"/>
      <c r="J115" s="5">
        <f t="shared" si="20"/>
        <v>1254068.79</v>
      </c>
    </row>
    <row r="116" spans="1:10" ht="10.5" thickBot="1">
      <c r="A116" s="83" t="s">
        <v>103</v>
      </c>
      <c r="B116" s="59">
        <v>573</v>
      </c>
      <c r="C116" s="60">
        <f>VLOOKUP(A116,'2013 TY O&amp;M Exp(RIS)'!$A$5:$C$181,3,FALSE)</f>
        <v>542572.59</v>
      </c>
      <c r="D116" s="61"/>
      <c r="E116" s="61">
        <f t="shared" si="18"/>
        <v>542572.59</v>
      </c>
      <c r="F116" s="61"/>
      <c r="G116" s="61">
        <f t="shared" si="19"/>
        <v>542572.59</v>
      </c>
      <c r="H116" s="5"/>
      <c r="I116" s="5"/>
      <c r="J116" s="5">
        <f t="shared" si="20"/>
        <v>542572.59</v>
      </c>
    </row>
    <row r="117" spans="1:10" ht="9.75">
      <c r="A117" s="83" t="s">
        <v>104</v>
      </c>
      <c r="B117" s="59"/>
      <c r="C117" s="60">
        <f aca="true" t="shared" si="21" ref="C117:J117">SUM(C97:C116)</f>
        <v>69143636.84</v>
      </c>
      <c r="D117" s="60">
        <f t="shared" si="21"/>
        <v>-6915809.87</v>
      </c>
      <c r="E117" s="60">
        <f t="shared" si="21"/>
        <v>62227826.970000006</v>
      </c>
      <c r="F117" s="60">
        <f t="shared" si="21"/>
        <v>-15038364</v>
      </c>
      <c r="G117" s="70">
        <f t="shared" si="21"/>
        <v>47189462.970000006</v>
      </c>
      <c r="H117" s="6">
        <f t="shared" si="21"/>
        <v>0</v>
      </c>
      <c r="I117" s="6">
        <f t="shared" si="21"/>
        <v>0</v>
      </c>
      <c r="J117" s="19">
        <f t="shared" si="21"/>
        <v>47189462.970000006</v>
      </c>
    </row>
    <row r="118" spans="1:10" ht="5.25" customHeight="1">
      <c r="A118" s="83"/>
      <c r="B118" s="59"/>
      <c r="C118" s="60"/>
      <c r="D118" s="60"/>
      <c r="E118" s="60"/>
      <c r="F118" s="60"/>
      <c r="G118" s="60"/>
      <c r="H118" s="5"/>
      <c r="I118" s="5"/>
      <c r="J118" s="5"/>
    </row>
    <row r="119" spans="1:10" ht="10.5" thickBot="1">
      <c r="A119" s="84" t="s">
        <v>105</v>
      </c>
      <c r="B119" s="59"/>
      <c r="C119" s="60"/>
      <c r="D119" s="60"/>
      <c r="E119" s="60"/>
      <c r="F119" s="60"/>
      <c r="G119" s="60"/>
      <c r="H119" s="5"/>
      <c r="I119" s="5"/>
      <c r="J119" s="5"/>
    </row>
    <row r="120" spans="1:10" ht="9.75">
      <c r="A120" s="83" t="s">
        <v>106</v>
      </c>
      <c r="B120" s="59">
        <v>580</v>
      </c>
      <c r="C120" s="60">
        <f>VLOOKUP(A120,'2013 TY O&amp;M Exp(RIS)'!$A$5:$C$181,3,FALSE)</f>
        <v>12548290.86</v>
      </c>
      <c r="D120" s="60"/>
      <c r="E120" s="60">
        <f aca="true" t="shared" si="22" ref="E120:E141">+C120+D120</f>
        <v>12548290.86</v>
      </c>
      <c r="F120" s="60"/>
      <c r="G120" s="60">
        <f aca="true" t="shared" si="23" ref="G120:G141">+E120+F120</f>
        <v>12548290.86</v>
      </c>
      <c r="H120" s="5"/>
      <c r="I120" s="5"/>
      <c r="J120" s="5">
        <f aca="true" t="shared" si="24" ref="J120:J141">G120+H120+I120</f>
        <v>12548290.86</v>
      </c>
    </row>
    <row r="121" spans="1:10" ht="9.75">
      <c r="A121" s="83" t="s">
        <v>107</v>
      </c>
      <c r="B121" s="59">
        <v>581</v>
      </c>
      <c r="C121" s="60">
        <f>VLOOKUP(A121,'2013 TY O&amp;M Exp(RIS)'!$A$5:$C$181,3,FALSE)</f>
        <v>1070808.58</v>
      </c>
      <c r="D121" s="60"/>
      <c r="E121" s="60">
        <f t="shared" si="22"/>
        <v>1070808.58</v>
      </c>
      <c r="F121" s="60"/>
      <c r="G121" s="60">
        <f t="shared" si="23"/>
        <v>1070808.58</v>
      </c>
      <c r="H121" s="5"/>
      <c r="I121" s="5"/>
      <c r="J121" s="5">
        <f t="shared" si="24"/>
        <v>1070808.58</v>
      </c>
    </row>
    <row r="122" spans="1:10" ht="9.75">
      <c r="A122" s="83" t="s">
        <v>108</v>
      </c>
      <c r="B122" s="59">
        <v>582</v>
      </c>
      <c r="C122" s="60">
        <f>VLOOKUP(A122,'2013 TY O&amp;M Exp(RIS)'!$A$5:$C$181,3,FALSE)</f>
        <v>3152833.06</v>
      </c>
      <c r="D122" s="60"/>
      <c r="E122" s="60">
        <f t="shared" si="22"/>
        <v>3152833.06</v>
      </c>
      <c r="F122" s="60"/>
      <c r="G122" s="60">
        <f t="shared" si="23"/>
        <v>3152833.06</v>
      </c>
      <c r="H122" s="5"/>
      <c r="I122" s="5"/>
      <c r="J122" s="5">
        <f t="shared" si="24"/>
        <v>3152833.06</v>
      </c>
    </row>
    <row r="123" spans="1:10" ht="9.75">
      <c r="A123" s="83" t="s">
        <v>109</v>
      </c>
      <c r="B123" s="59">
        <v>583</v>
      </c>
      <c r="C123" s="60">
        <f>VLOOKUP(A123,'2013 TY O&amp;M Exp(RIS)'!$A$5:$C$181,3,FALSE)</f>
        <v>20282992.76</v>
      </c>
      <c r="D123" s="60"/>
      <c r="E123" s="60">
        <f t="shared" si="22"/>
        <v>20282992.76</v>
      </c>
      <c r="F123" s="60"/>
      <c r="G123" s="60">
        <f t="shared" si="23"/>
        <v>20282992.76</v>
      </c>
      <c r="H123" s="5"/>
      <c r="I123" s="5"/>
      <c r="J123" s="5">
        <f t="shared" si="24"/>
        <v>20282992.76</v>
      </c>
    </row>
    <row r="124" spans="1:10" ht="9.75">
      <c r="A124" s="83" t="s">
        <v>110</v>
      </c>
      <c r="B124" s="59">
        <v>584</v>
      </c>
      <c r="C124" s="60">
        <f>VLOOKUP(A124,'2013 TY O&amp;M Exp(RIS)'!$A$5:$C$181,3,FALSE)</f>
        <v>6380810.76</v>
      </c>
      <c r="D124" s="60"/>
      <c r="E124" s="60">
        <f t="shared" si="22"/>
        <v>6380810.76</v>
      </c>
      <c r="F124" s="60"/>
      <c r="G124" s="60">
        <f t="shared" si="23"/>
        <v>6380810.76</v>
      </c>
      <c r="H124" s="5"/>
      <c r="I124" s="5"/>
      <c r="J124" s="5">
        <f t="shared" si="24"/>
        <v>6380810.76</v>
      </c>
    </row>
    <row r="125" spans="1:10" ht="9.75">
      <c r="A125" s="83" t="s">
        <v>317</v>
      </c>
      <c r="B125" s="59">
        <v>585</v>
      </c>
      <c r="C125" s="60">
        <f>VLOOKUP(A125,'2013 TY O&amp;M Exp(RIS)'!$A$5:$C$181,3,FALSE)</f>
        <v>3291160.5</v>
      </c>
      <c r="D125" s="60"/>
      <c r="E125" s="60">
        <f t="shared" si="22"/>
        <v>3291160.5</v>
      </c>
      <c r="F125" s="60"/>
      <c r="G125" s="60">
        <f t="shared" si="23"/>
        <v>3291160.5</v>
      </c>
      <c r="H125" s="5"/>
      <c r="I125" s="5"/>
      <c r="J125" s="5">
        <f t="shared" si="24"/>
        <v>3291160.5</v>
      </c>
    </row>
    <row r="126" spans="1:10" ht="9.75">
      <c r="A126" s="83" t="s">
        <v>112</v>
      </c>
      <c r="B126" s="59">
        <v>586</v>
      </c>
      <c r="C126" s="60">
        <f>VLOOKUP(A126,'2013 TY O&amp;M Exp(RIS)'!$A$5:$C$181,3,FALSE)</f>
        <v>14947671.02</v>
      </c>
      <c r="D126" s="60"/>
      <c r="E126" s="60">
        <f t="shared" si="22"/>
        <v>14947671.02</v>
      </c>
      <c r="F126" s="60"/>
      <c r="G126" s="60">
        <f t="shared" si="23"/>
        <v>14947671.02</v>
      </c>
      <c r="H126" s="5"/>
      <c r="I126" s="5"/>
      <c r="J126" s="5">
        <f t="shared" si="24"/>
        <v>14947671.02</v>
      </c>
    </row>
    <row r="127" spans="1:10" ht="9.75">
      <c r="A127" s="83" t="s">
        <v>113</v>
      </c>
      <c r="B127" s="59">
        <v>587</v>
      </c>
      <c r="C127" s="60">
        <f>VLOOKUP(A127,'2013 TY O&amp;M Exp(RIS)'!$A$5:$C$181,3,FALSE)</f>
        <v>2048409.32</v>
      </c>
      <c r="D127" s="60"/>
      <c r="E127" s="60">
        <f t="shared" si="22"/>
        <v>2048409.32</v>
      </c>
      <c r="F127" s="60"/>
      <c r="G127" s="60">
        <f t="shared" si="23"/>
        <v>2048409.32</v>
      </c>
      <c r="H127" s="5"/>
      <c r="I127" s="5"/>
      <c r="J127" s="5">
        <f t="shared" si="24"/>
        <v>2048409.32</v>
      </c>
    </row>
    <row r="128" spans="1:10" ht="9.75">
      <c r="A128" s="83" t="s">
        <v>114</v>
      </c>
      <c r="B128" s="59">
        <v>587</v>
      </c>
      <c r="C128" s="60">
        <f>VLOOKUP(A128,'2013 TY O&amp;M Exp(RIS)'!$A$5:$C$181,3,FALSE)</f>
        <v>444320.06</v>
      </c>
      <c r="D128" s="60">
        <f>-C128</f>
        <v>-444320.06</v>
      </c>
      <c r="E128" s="60">
        <f t="shared" si="22"/>
        <v>0</v>
      </c>
      <c r="F128" s="60"/>
      <c r="G128" s="60">
        <f t="shared" si="23"/>
        <v>0</v>
      </c>
      <c r="H128" s="5"/>
      <c r="I128" s="5"/>
      <c r="J128" s="5">
        <f t="shared" si="24"/>
        <v>0</v>
      </c>
    </row>
    <row r="129" spans="1:10" ht="9.75">
      <c r="A129" s="83" t="s">
        <v>115</v>
      </c>
      <c r="B129" s="59">
        <v>588</v>
      </c>
      <c r="C129" s="60">
        <f>VLOOKUP(A129,'2013 TY O&amp;M Exp(RIS)'!$A$5:$C$181,3,FALSE)</f>
        <v>26954772.36</v>
      </c>
      <c r="D129" s="60"/>
      <c r="E129" s="60">
        <f t="shared" si="22"/>
        <v>26954772.36</v>
      </c>
      <c r="F129" s="60"/>
      <c r="G129" s="60">
        <f t="shared" si="23"/>
        <v>26954772.36</v>
      </c>
      <c r="H129" s="5"/>
      <c r="I129" s="5"/>
      <c r="J129" s="5">
        <f t="shared" si="24"/>
        <v>26954772.36</v>
      </c>
    </row>
    <row r="130" spans="1:10" ht="9.75">
      <c r="A130" s="83" t="s">
        <v>116</v>
      </c>
      <c r="B130" s="59">
        <v>589</v>
      </c>
      <c r="C130" s="60">
        <f>VLOOKUP(A130,'2013 TY O&amp;M Exp(RIS)'!$A$5:$C$181,3,FALSE)</f>
        <v>8821216.13</v>
      </c>
      <c r="D130" s="60"/>
      <c r="E130" s="60">
        <f t="shared" si="22"/>
        <v>8821216.13</v>
      </c>
      <c r="F130" s="60"/>
      <c r="G130" s="60">
        <f t="shared" si="23"/>
        <v>8821216.13</v>
      </c>
      <c r="H130" s="5"/>
      <c r="I130" s="5"/>
      <c r="J130" s="5">
        <f t="shared" si="24"/>
        <v>8821216.13</v>
      </c>
    </row>
    <row r="131" spans="1:10" ht="9.75">
      <c r="A131" s="83" t="s">
        <v>318</v>
      </c>
      <c r="B131" s="59">
        <v>590</v>
      </c>
      <c r="C131" s="60">
        <f>VLOOKUP(A131,'2013 TY O&amp;M Exp(RIS)'!$A$5:$C$181,3,FALSE)</f>
        <v>13246461.43</v>
      </c>
      <c r="D131" s="60"/>
      <c r="E131" s="60">
        <f t="shared" si="22"/>
        <v>13246461.43</v>
      </c>
      <c r="F131" s="60"/>
      <c r="G131" s="60">
        <f t="shared" si="23"/>
        <v>13246461.43</v>
      </c>
      <c r="H131" s="5"/>
      <c r="I131" s="5"/>
      <c r="J131" s="5">
        <f t="shared" si="24"/>
        <v>13246461.43</v>
      </c>
    </row>
    <row r="132" spans="1:10" ht="9.75">
      <c r="A132" s="83" t="s">
        <v>319</v>
      </c>
      <c r="B132" s="59">
        <v>590</v>
      </c>
      <c r="C132" s="60">
        <f>VLOOKUP(A132,'2013 TY O&amp;M Exp(RIS)'!$A$5:$C$181,3,FALSE)</f>
        <v>1877768.91</v>
      </c>
      <c r="D132" s="60">
        <f>-C132</f>
        <v>-1877768.91</v>
      </c>
      <c r="E132" s="60">
        <f t="shared" si="22"/>
        <v>0</v>
      </c>
      <c r="F132" s="60"/>
      <c r="G132" s="60">
        <f t="shared" si="23"/>
        <v>0</v>
      </c>
      <c r="H132" s="5"/>
      <c r="I132" s="5"/>
      <c r="J132" s="5">
        <f t="shared" si="24"/>
        <v>0</v>
      </c>
    </row>
    <row r="133" spans="1:10" ht="9.75">
      <c r="A133" s="83" t="s">
        <v>119</v>
      </c>
      <c r="B133" s="59">
        <v>591</v>
      </c>
      <c r="C133" s="60">
        <f>VLOOKUP(A133,'2013 TY O&amp;M Exp(RIS)'!$A$5:$C$181,3,FALSE)</f>
        <v>0</v>
      </c>
      <c r="D133" s="60"/>
      <c r="E133" s="60">
        <f t="shared" si="22"/>
        <v>0</v>
      </c>
      <c r="F133" s="60"/>
      <c r="G133" s="60">
        <f t="shared" si="23"/>
        <v>0</v>
      </c>
      <c r="H133" s="5"/>
      <c r="I133" s="5"/>
      <c r="J133" s="5">
        <f t="shared" si="24"/>
        <v>0</v>
      </c>
    </row>
    <row r="134" spans="1:10" ht="9.75">
      <c r="A134" s="83" t="s">
        <v>120</v>
      </c>
      <c r="B134" s="59">
        <v>592</v>
      </c>
      <c r="C134" s="60">
        <f>VLOOKUP(A134,'2013 TY O&amp;M Exp(RIS)'!$A$5:$C$181,3,FALSE)</f>
        <v>7928781.11</v>
      </c>
      <c r="D134" s="60"/>
      <c r="E134" s="60">
        <f t="shared" si="22"/>
        <v>7928781.11</v>
      </c>
      <c r="F134" s="60"/>
      <c r="G134" s="60">
        <f t="shared" si="23"/>
        <v>7928781.11</v>
      </c>
      <c r="H134" s="5"/>
      <c r="I134" s="5">
        <f>'2013 Comp Adj'!E102</f>
        <v>-560232</v>
      </c>
      <c r="J134" s="5">
        <f t="shared" si="24"/>
        <v>7368549.11</v>
      </c>
    </row>
    <row r="135" spans="1:10" ht="9.75">
      <c r="A135" s="83" t="s">
        <v>121</v>
      </c>
      <c r="B135" s="59">
        <v>592</v>
      </c>
      <c r="C135" s="60">
        <f>VLOOKUP(A135,'2013 TY O&amp;M Exp(RIS)'!$A$5:$C$181,3,FALSE)</f>
        <v>5574606.04</v>
      </c>
      <c r="D135" s="60">
        <f>-C135</f>
        <v>-5574606.04</v>
      </c>
      <c r="E135" s="60">
        <f t="shared" si="22"/>
        <v>0</v>
      </c>
      <c r="F135" s="60"/>
      <c r="G135" s="60">
        <f t="shared" si="23"/>
        <v>0</v>
      </c>
      <c r="H135" s="5"/>
      <c r="I135" s="5"/>
      <c r="J135" s="5">
        <f t="shared" si="24"/>
        <v>0</v>
      </c>
    </row>
    <row r="136" spans="1:10" ht="9.75">
      <c r="A136" s="83" t="s">
        <v>122</v>
      </c>
      <c r="B136" s="59">
        <v>593</v>
      </c>
      <c r="C136" s="60">
        <f>VLOOKUP(A136,'2013 TY O&amp;M Exp(RIS)'!$A$5:$C$181,3,FALSE)</f>
        <v>116780870.01</v>
      </c>
      <c r="D136" s="60"/>
      <c r="E136" s="60">
        <f t="shared" si="22"/>
        <v>116780870.01</v>
      </c>
      <c r="F136" s="60"/>
      <c r="G136" s="60">
        <f t="shared" si="23"/>
        <v>116780870.01</v>
      </c>
      <c r="H136" s="5"/>
      <c r="I136" s="5"/>
      <c r="J136" s="5">
        <f t="shared" si="24"/>
        <v>116780870.01</v>
      </c>
    </row>
    <row r="137" spans="1:10" ht="9.75">
      <c r="A137" s="83" t="s">
        <v>123</v>
      </c>
      <c r="B137" s="59">
        <v>594</v>
      </c>
      <c r="C137" s="60">
        <f>VLOOKUP(A137,'2013 TY O&amp;M Exp(RIS)'!$A$5:$C$181,3,FALSE)</f>
        <v>34463070.25</v>
      </c>
      <c r="D137" s="60"/>
      <c r="E137" s="60">
        <f t="shared" si="22"/>
        <v>34463070.25</v>
      </c>
      <c r="F137" s="60"/>
      <c r="G137" s="60">
        <f t="shared" si="23"/>
        <v>34463070.25</v>
      </c>
      <c r="H137" s="5"/>
      <c r="I137" s="5"/>
      <c r="J137" s="5">
        <f t="shared" si="24"/>
        <v>34463070.25</v>
      </c>
    </row>
    <row r="138" spans="1:10" ht="9.75">
      <c r="A138" s="83" t="s">
        <v>124</v>
      </c>
      <c r="B138" s="59">
        <v>595</v>
      </c>
      <c r="C138" s="60">
        <f>VLOOKUP(A138,'2013 TY O&amp;M Exp(RIS)'!$A$5:$C$181,3,FALSE)</f>
        <v>25332.38</v>
      </c>
      <c r="D138" s="60"/>
      <c r="E138" s="60">
        <f t="shared" si="22"/>
        <v>25332.38</v>
      </c>
      <c r="F138" s="60"/>
      <c r="G138" s="60">
        <f t="shared" si="23"/>
        <v>25332.38</v>
      </c>
      <c r="H138" s="5"/>
      <c r="I138" s="5"/>
      <c r="J138" s="5">
        <f t="shared" si="24"/>
        <v>25332.38</v>
      </c>
    </row>
    <row r="139" spans="1:10" ht="9.75">
      <c r="A139" s="83" t="s">
        <v>320</v>
      </c>
      <c r="B139" s="59">
        <v>596</v>
      </c>
      <c r="C139" s="60">
        <f>VLOOKUP(A139,'2013 TY O&amp;M Exp(RIS)'!$A$5:$C$181,3,FALSE)</f>
        <v>6151739.71</v>
      </c>
      <c r="D139" s="60"/>
      <c r="E139" s="60">
        <f t="shared" si="22"/>
        <v>6151739.71</v>
      </c>
      <c r="F139" s="60"/>
      <c r="G139" s="60">
        <f t="shared" si="23"/>
        <v>6151739.71</v>
      </c>
      <c r="H139" s="5"/>
      <c r="I139" s="5"/>
      <c r="J139" s="5">
        <f t="shared" si="24"/>
        <v>6151739.71</v>
      </c>
    </row>
    <row r="140" spans="1:10" ht="9.75">
      <c r="A140" s="83" t="s">
        <v>126</v>
      </c>
      <c r="B140" s="59">
        <v>597</v>
      </c>
      <c r="C140" s="60">
        <f>VLOOKUP(A140,'2013 TY O&amp;M Exp(RIS)'!$A$5:$C$181,3,FALSE)</f>
        <v>2806259.28</v>
      </c>
      <c r="D140" s="60"/>
      <c r="E140" s="60">
        <f t="shared" si="22"/>
        <v>2806259.28</v>
      </c>
      <c r="F140" s="60"/>
      <c r="G140" s="60">
        <f t="shared" si="23"/>
        <v>2806259.28</v>
      </c>
      <c r="H140" s="5"/>
      <c r="I140" s="5"/>
      <c r="J140" s="5">
        <f t="shared" si="24"/>
        <v>2806259.28</v>
      </c>
    </row>
    <row r="141" spans="1:10" ht="10.5" thickBot="1">
      <c r="A141" s="83" t="s">
        <v>321</v>
      </c>
      <c r="B141" s="59">
        <v>598</v>
      </c>
      <c r="C141" s="60">
        <f>VLOOKUP(A141,'2013 TY O&amp;M Exp(RIS)'!$A$5:$C$181,3,FALSE)</f>
        <v>5761235.41</v>
      </c>
      <c r="D141" s="61"/>
      <c r="E141" s="61">
        <f t="shared" si="22"/>
        <v>5761235.41</v>
      </c>
      <c r="F141" s="61"/>
      <c r="G141" s="61">
        <f t="shared" si="23"/>
        <v>5761235.41</v>
      </c>
      <c r="H141" s="5"/>
      <c r="I141" s="5"/>
      <c r="J141" s="5">
        <f t="shared" si="24"/>
        <v>5761235.41</v>
      </c>
    </row>
    <row r="142" spans="1:10" ht="9.75">
      <c r="A142" s="83" t="s">
        <v>128</v>
      </c>
      <c r="B142" s="59"/>
      <c r="C142" s="60">
        <f aca="true" t="shared" si="25" ref="C142:J142">SUM(C120:C141)</f>
        <v>294559409.94</v>
      </c>
      <c r="D142" s="60">
        <f t="shared" si="25"/>
        <v>-7896695.01</v>
      </c>
      <c r="E142" s="60">
        <f t="shared" si="25"/>
        <v>286662714.92999995</v>
      </c>
      <c r="F142" s="60">
        <f t="shared" si="25"/>
        <v>0</v>
      </c>
      <c r="G142" s="70">
        <f t="shared" si="25"/>
        <v>286662714.92999995</v>
      </c>
      <c r="H142" s="6">
        <f t="shared" si="25"/>
        <v>0</v>
      </c>
      <c r="I142" s="6">
        <f t="shared" si="25"/>
        <v>-560232</v>
      </c>
      <c r="J142" s="19">
        <f t="shared" si="25"/>
        <v>286102482.92999995</v>
      </c>
    </row>
    <row r="143" spans="1:10" ht="6" customHeight="1">
      <c r="A143" s="83"/>
      <c r="B143" s="59"/>
      <c r="C143" s="60"/>
      <c r="D143" s="60"/>
      <c r="E143" s="60"/>
      <c r="F143" s="60"/>
      <c r="G143" s="60"/>
      <c r="H143" s="5"/>
      <c r="I143" s="5"/>
      <c r="J143" s="5"/>
    </row>
    <row r="144" spans="1:10" ht="1.5" customHeight="1">
      <c r="A144" s="83"/>
      <c r="B144" s="59"/>
      <c r="C144" s="60"/>
      <c r="D144" s="60"/>
      <c r="E144" s="60"/>
      <c r="F144" s="60"/>
      <c r="G144" s="60"/>
      <c r="H144" s="5"/>
      <c r="I144" s="5"/>
      <c r="J144" s="5"/>
    </row>
    <row r="145" spans="1:10" ht="10.5" thickBot="1">
      <c r="A145" s="84" t="s">
        <v>129</v>
      </c>
      <c r="B145" s="59"/>
      <c r="C145" s="60"/>
      <c r="D145" s="60"/>
      <c r="E145" s="60"/>
      <c r="F145" s="60"/>
      <c r="G145" s="60"/>
      <c r="H145" s="5"/>
      <c r="I145" s="5"/>
      <c r="J145" s="5">
        <f aca="true" t="shared" si="26" ref="J145:J151">G145+H145+I145</f>
        <v>0</v>
      </c>
    </row>
    <row r="146" spans="1:10" ht="9.75">
      <c r="A146" s="83" t="s">
        <v>130</v>
      </c>
      <c r="B146" s="59">
        <v>901</v>
      </c>
      <c r="C146" s="60">
        <f>VLOOKUP(A146,'2013 TY O&amp;M Exp(RIS)'!$A$5:$C$181,3,FALSE)</f>
        <v>4275593.79</v>
      </c>
      <c r="D146" s="60"/>
      <c r="E146" s="60">
        <f aca="true" t="shared" si="27" ref="E146:E151">+C146+D146</f>
        <v>4275593.79</v>
      </c>
      <c r="F146" s="60"/>
      <c r="G146" s="60">
        <f aca="true" t="shared" si="28" ref="G146:G151">+E146+F146</f>
        <v>4275593.79</v>
      </c>
      <c r="H146" s="5"/>
      <c r="I146" s="5"/>
      <c r="J146" s="5">
        <f t="shared" si="26"/>
        <v>4275593.79</v>
      </c>
    </row>
    <row r="147" spans="1:10" ht="9.75">
      <c r="A147" s="83" t="s">
        <v>131</v>
      </c>
      <c r="B147" s="59">
        <v>902</v>
      </c>
      <c r="C147" s="60">
        <f>VLOOKUP(A147,'2013 TY O&amp;M Exp(RIS)'!$A$5:$C$181,3,FALSE)</f>
        <v>33418384.02</v>
      </c>
      <c r="D147" s="60"/>
      <c r="E147" s="60">
        <f t="shared" si="27"/>
        <v>33418384.02</v>
      </c>
      <c r="F147" s="60"/>
      <c r="G147" s="60">
        <f t="shared" si="28"/>
        <v>33418384.02</v>
      </c>
      <c r="H147" s="5"/>
      <c r="I147" s="5"/>
      <c r="J147" s="5">
        <f t="shared" si="26"/>
        <v>33418384.02</v>
      </c>
    </row>
    <row r="148" spans="1:10" ht="9.75">
      <c r="A148" s="83" t="s">
        <v>322</v>
      </c>
      <c r="B148" s="59">
        <v>903</v>
      </c>
      <c r="C148" s="60">
        <f>VLOOKUP(A148,'2013 TY O&amp;M Exp(RIS)'!$A$5:$C$181,3,FALSE)</f>
        <v>94157957.79</v>
      </c>
      <c r="D148" s="60"/>
      <c r="E148" s="60">
        <f t="shared" si="27"/>
        <v>94157957.79</v>
      </c>
      <c r="F148" s="60"/>
      <c r="G148" s="60">
        <f t="shared" si="28"/>
        <v>94157957.79</v>
      </c>
      <c r="H148" s="5"/>
      <c r="I148" s="5"/>
      <c r="J148" s="5">
        <f t="shared" si="26"/>
        <v>94157957.79</v>
      </c>
    </row>
    <row r="149" spans="1:10" ht="9.75">
      <c r="A149" s="83" t="s">
        <v>133</v>
      </c>
      <c r="B149" s="59">
        <v>904</v>
      </c>
      <c r="C149" s="60">
        <f>VLOOKUP(A149,'2013 TY O&amp;M Exp(RIS)'!$A$5:$C$181,3,FALSE)</f>
        <v>18407702.71</v>
      </c>
      <c r="D149" s="60">
        <v>-305867.45</v>
      </c>
      <c r="E149" s="60">
        <f t="shared" si="27"/>
        <v>18101835.26</v>
      </c>
      <c r="F149" s="60"/>
      <c r="G149" s="60">
        <f t="shared" si="28"/>
        <v>18101835.26</v>
      </c>
      <c r="H149" s="5"/>
      <c r="I149" s="5"/>
      <c r="J149" s="5">
        <f t="shared" si="26"/>
        <v>18101835.26</v>
      </c>
    </row>
    <row r="150" spans="1:10" ht="9.75">
      <c r="A150" s="83" t="s">
        <v>345</v>
      </c>
      <c r="B150" s="59">
        <v>904</v>
      </c>
      <c r="C150" s="60">
        <f>VLOOKUP(A150,'2013 TY O&amp;M Exp(RIS)'!$A$5:$C$181,3,FALSE)</f>
        <v>0</v>
      </c>
      <c r="D150" s="60">
        <f>-C150</f>
        <v>0</v>
      </c>
      <c r="E150" s="60">
        <f t="shared" si="27"/>
        <v>0</v>
      </c>
      <c r="F150" s="60"/>
      <c r="G150" s="60">
        <f t="shared" si="28"/>
        <v>0</v>
      </c>
      <c r="H150" s="5"/>
      <c r="I150" s="5"/>
      <c r="J150" s="5">
        <f t="shared" si="26"/>
        <v>0</v>
      </c>
    </row>
    <row r="151" spans="1:10" ht="10.5" thickBot="1">
      <c r="A151" s="83" t="s">
        <v>135</v>
      </c>
      <c r="B151" s="59">
        <v>905</v>
      </c>
      <c r="C151" s="60">
        <f>VLOOKUP(A151,'2013 TY O&amp;M Exp(RIS)'!$A$5:$C$181,3,FALSE)</f>
        <v>0</v>
      </c>
      <c r="D151" s="61"/>
      <c r="E151" s="61">
        <f t="shared" si="27"/>
        <v>0</v>
      </c>
      <c r="F151" s="61"/>
      <c r="G151" s="61">
        <f t="shared" si="28"/>
        <v>0</v>
      </c>
      <c r="H151" s="5"/>
      <c r="I151" s="5"/>
      <c r="J151" s="5">
        <f t="shared" si="26"/>
        <v>0</v>
      </c>
    </row>
    <row r="152" spans="1:10" ht="9.75">
      <c r="A152" s="83" t="s">
        <v>136</v>
      </c>
      <c r="B152" s="59"/>
      <c r="C152" s="60">
        <f>SUM(C146:C151)</f>
        <v>150259638.31</v>
      </c>
      <c r="D152" s="60">
        <f>SUM(D146:D151)</f>
        <v>-305867.45</v>
      </c>
      <c r="E152" s="60">
        <f>SUM(E146:E151)</f>
        <v>149953770.86</v>
      </c>
      <c r="F152" s="60">
        <f>SUM(F146:F151)</f>
        <v>0</v>
      </c>
      <c r="G152" s="70">
        <f>SUM(G146:G151)</f>
        <v>149953770.86</v>
      </c>
      <c r="H152" s="6">
        <f>SUM(H145:H151)</f>
        <v>0</v>
      </c>
      <c r="I152" s="6">
        <f>SUM(I145:I151)</f>
        <v>0</v>
      </c>
      <c r="J152" s="19">
        <f>SUM(J145:J151)</f>
        <v>149953770.86</v>
      </c>
    </row>
    <row r="153" spans="1:10" ht="5.25" customHeight="1">
      <c r="A153" s="83"/>
      <c r="B153" s="59"/>
      <c r="C153" s="60"/>
      <c r="D153" s="60"/>
      <c r="E153" s="60"/>
      <c r="F153" s="60"/>
      <c r="G153" s="60"/>
      <c r="H153" s="5"/>
      <c r="I153" s="5"/>
      <c r="J153" s="5"/>
    </row>
    <row r="154" spans="1:10" ht="9.75">
      <c r="A154" s="83"/>
      <c r="B154" s="59"/>
      <c r="C154" s="60"/>
      <c r="D154" s="60"/>
      <c r="E154" s="60"/>
      <c r="F154" s="60"/>
      <c r="G154" s="60"/>
      <c r="H154" s="5"/>
      <c r="I154" s="5"/>
      <c r="J154" s="5"/>
    </row>
    <row r="155" spans="1:10" ht="10.5" thickBot="1">
      <c r="A155" s="84" t="s">
        <v>137</v>
      </c>
      <c r="B155" s="59"/>
      <c r="C155" s="60"/>
      <c r="D155" s="60"/>
      <c r="E155" s="60"/>
      <c r="F155" s="60"/>
      <c r="G155" s="60"/>
      <c r="H155" s="5"/>
      <c r="I155" s="5"/>
      <c r="J155" s="5"/>
    </row>
    <row r="156" spans="1:10" ht="9.75">
      <c r="A156" s="83" t="s">
        <v>138</v>
      </c>
      <c r="B156" s="59">
        <v>907</v>
      </c>
      <c r="C156" s="60">
        <f>VLOOKUP(A156,'2013 TY O&amp;M Exp(RIS)'!$A$5:$C$181,3,FALSE)</f>
        <v>3382156.04</v>
      </c>
      <c r="D156" s="60"/>
      <c r="E156" s="60">
        <f aca="true" t="shared" si="29" ref="E156:E162">+C156+D156</f>
        <v>3382156.04</v>
      </c>
      <c r="F156" s="60"/>
      <c r="G156" s="60">
        <f aca="true" t="shared" si="30" ref="G156:G162">+E156+F156</f>
        <v>3382156.04</v>
      </c>
      <c r="H156" s="5"/>
      <c r="I156" s="5"/>
      <c r="J156" s="5">
        <f aca="true" t="shared" si="31" ref="J156:J163">G156+H156+I156</f>
        <v>3382156.04</v>
      </c>
    </row>
    <row r="157" spans="1:10" ht="9.75">
      <c r="A157" s="83" t="s">
        <v>323</v>
      </c>
      <c r="B157" s="59">
        <v>907</v>
      </c>
      <c r="C157" s="60">
        <f>VLOOKUP(A157,'2013 TY O&amp;M Exp(RIS)'!$A$5:$C$181,3,FALSE)</f>
        <v>9158231.93</v>
      </c>
      <c r="D157" s="60">
        <f>-C157</f>
        <v>-9158231.93</v>
      </c>
      <c r="E157" s="60">
        <f t="shared" si="29"/>
        <v>0</v>
      </c>
      <c r="F157" s="60"/>
      <c r="G157" s="60">
        <f t="shared" si="30"/>
        <v>0</v>
      </c>
      <c r="H157" s="5"/>
      <c r="I157" s="5"/>
      <c r="J157" s="5">
        <f t="shared" si="31"/>
        <v>0</v>
      </c>
    </row>
    <row r="158" spans="1:10" ht="9.75">
      <c r="A158" s="83" t="s">
        <v>140</v>
      </c>
      <c r="B158" s="59">
        <v>908</v>
      </c>
      <c r="C158" s="60">
        <f>VLOOKUP(A158,'2013 TY O&amp;M Exp(RIS)'!$A$5:$C$181,3,FALSE)</f>
        <v>3151402.33</v>
      </c>
      <c r="D158" s="60"/>
      <c r="E158" s="60">
        <f t="shared" si="29"/>
        <v>3151402.33</v>
      </c>
      <c r="F158" s="60"/>
      <c r="G158" s="60">
        <f t="shared" si="30"/>
        <v>3151402.33</v>
      </c>
      <c r="H158" s="5"/>
      <c r="I158" s="5"/>
      <c r="J158" s="5">
        <f t="shared" si="31"/>
        <v>3151402.33</v>
      </c>
    </row>
    <row r="159" spans="1:10" ht="9.75">
      <c r="A159" s="83" t="s">
        <v>324</v>
      </c>
      <c r="B159" s="59">
        <v>908</v>
      </c>
      <c r="C159" s="60">
        <f>VLOOKUP(A159,'2013 TY O&amp;M Exp(RIS)'!$A$5:$C$181,3,FALSE)</f>
        <v>102734636.73</v>
      </c>
      <c r="D159" s="60">
        <f>-C159</f>
        <v>-102734636.73</v>
      </c>
      <c r="E159" s="60">
        <f t="shared" si="29"/>
        <v>0</v>
      </c>
      <c r="F159" s="60"/>
      <c r="G159" s="60">
        <f t="shared" si="30"/>
        <v>0</v>
      </c>
      <c r="H159" s="5"/>
      <c r="I159" s="5"/>
      <c r="J159" s="5">
        <f t="shared" si="31"/>
        <v>0</v>
      </c>
    </row>
    <row r="160" spans="1:10" ht="9.75">
      <c r="A160" s="83" t="s">
        <v>142</v>
      </c>
      <c r="B160" s="59">
        <v>909</v>
      </c>
      <c r="C160" s="60">
        <f>VLOOKUP(A160,'2013 TY O&amp;M Exp(RIS)'!$A$5:$C$181,3,FALSE)</f>
        <v>821179.23</v>
      </c>
      <c r="D160" s="60"/>
      <c r="E160" s="60">
        <f>+C160+D160</f>
        <v>821179.23</v>
      </c>
      <c r="F160" s="60"/>
      <c r="G160" s="60">
        <f t="shared" si="30"/>
        <v>821179.23</v>
      </c>
      <c r="H160" s="5"/>
      <c r="I160" s="5"/>
      <c r="J160" s="5">
        <f t="shared" si="31"/>
        <v>821179.23</v>
      </c>
    </row>
    <row r="161" spans="1:10" ht="9.75">
      <c r="A161" s="83" t="s">
        <v>143</v>
      </c>
      <c r="B161" s="59">
        <v>909</v>
      </c>
      <c r="C161" s="60">
        <f>VLOOKUP(A161,'2013 TY O&amp;M Exp(RIS)'!$A$5:$C$181,3,FALSE)</f>
        <v>8507568.5</v>
      </c>
      <c r="D161" s="60">
        <f>-C161</f>
        <v>-8507568.5</v>
      </c>
      <c r="E161" s="60">
        <f t="shared" si="29"/>
        <v>0</v>
      </c>
      <c r="F161" s="60"/>
      <c r="G161" s="60">
        <f t="shared" si="30"/>
        <v>0</v>
      </c>
      <c r="H161" s="5"/>
      <c r="I161" s="5"/>
      <c r="J161" s="5">
        <f t="shared" si="31"/>
        <v>0</v>
      </c>
    </row>
    <row r="162" spans="1:10" ht="9.75">
      <c r="A162" s="83" t="s">
        <v>144</v>
      </c>
      <c r="B162" s="59">
        <v>910</v>
      </c>
      <c r="C162" s="60">
        <f>VLOOKUP(A162,'2013 TY O&amp;M Exp(RIS)'!$A$5:$C$181,3,FALSE)</f>
        <v>5496431.95</v>
      </c>
      <c r="D162" s="60"/>
      <c r="E162" s="60">
        <f t="shared" si="29"/>
        <v>5496431.95</v>
      </c>
      <c r="F162" s="60"/>
      <c r="G162" s="60">
        <f t="shared" si="30"/>
        <v>5496431.95</v>
      </c>
      <c r="H162" s="5"/>
      <c r="I162" s="5"/>
      <c r="J162" s="5">
        <f t="shared" si="31"/>
        <v>5496431.95</v>
      </c>
    </row>
    <row r="163" spans="1:10" ht="10.5" thickBot="1">
      <c r="A163" s="83" t="s">
        <v>325</v>
      </c>
      <c r="B163" s="59">
        <v>910</v>
      </c>
      <c r="C163" s="60">
        <f>VLOOKUP(A163,'2013 TY O&amp;M Exp(RIS)'!$A$5:$C$181,3,FALSE)</f>
        <v>4185951.5</v>
      </c>
      <c r="D163" s="61">
        <f>-C163</f>
        <v>-4185951.5</v>
      </c>
      <c r="E163" s="61">
        <f>+C163+D163</f>
        <v>0</v>
      </c>
      <c r="F163" s="61"/>
      <c r="G163" s="61">
        <f>+E163+F163</f>
        <v>0</v>
      </c>
      <c r="H163" s="5"/>
      <c r="I163" s="5"/>
      <c r="J163" s="5">
        <f t="shared" si="31"/>
        <v>0</v>
      </c>
    </row>
    <row r="164" spans="1:10" ht="9.75">
      <c r="A164" s="83" t="s">
        <v>146</v>
      </c>
      <c r="B164" s="59"/>
      <c r="C164" s="60">
        <f aca="true" t="shared" si="32" ref="C164:J164">SUM(C156:C163)</f>
        <v>137437558.21</v>
      </c>
      <c r="D164" s="60">
        <f t="shared" si="32"/>
        <v>-124586388.66</v>
      </c>
      <c r="E164" s="60">
        <f t="shared" si="32"/>
        <v>12851169.55</v>
      </c>
      <c r="F164" s="60">
        <f t="shared" si="32"/>
        <v>0</v>
      </c>
      <c r="G164" s="70">
        <f t="shared" si="32"/>
        <v>12851169.55</v>
      </c>
      <c r="H164" s="6">
        <f t="shared" si="32"/>
        <v>0</v>
      </c>
      <c r="I164" s="6">
        <f t="shared" si="32"/>
        <v>0</v>
      </c>
      <c r="J164" s="19">
        <f t="shared" si="32"/>
        <v>12851169.55</v>
      </c>
    </row>
    <row r="165" spans="1:10" ht="9.75">
      <c r="A165" s="83"/>
      <c r="B165" s="59"/>
      <c r="C165" s="60"/>
      <c r="D165" s="60"/>
      <c r="E165" s="60"/>
      <c r="F165" s="60"/>
      <c r="G165" s="60"/>
      <c r="H165" s="5"/>
      <c r="I165" s="5"/>
      <c r="J165" s="5"/>
    </row>
    <row r="166" spans="1:10" ht="10.5" thickBot="1">
      <c r="A166" s="84" t="s">
        <v>147</v>
      </c>
      <c r="B166" s="59"/>
      <c r="C166" s="60"/>
      <c r="D166" s="60"/>
      <c r="E166" s="60"/>
      <c r="F166" s="60"/>
      <c r="G166" s="60"/>
      <c r="H166" s="5"/>
      <c r="I166" s="5"/>
      <c r="J166" s="5"/>
    </row>
    <row r="167" spans="1:10" ht="9.75">
      <c r="A167" s="83" t="s">
        <v>148</v>
      </c>
      <c r="B167" s="59">
        <v>911</v>
      </c>
      <c r="C167" s="60">
        <f>VLOOKUP(A167,'2013 TY O&amp;M Exp(RIS)'!$A$5:$C$181,3,FALSE)</f>
        <v>0</v>
      </c>
      <c r="D167" s="60"/>
      <c r="E167" s="60">
        <f>+C167+D167</f>
        <v>0</v>
      </c>
      <c r="F167" s="60"/>
      <c r="G167" s="60">
        <f>+E167+F167</f>
        <v>0</v>
      </c>
      <c r="H167" s="5">
        <f>-15520589*0</f>
        <v>0</v>
      </c>
      <c r="I167" s="5"/>
      <c r="J167" s="5">
        <f>G167+H167+I167</f>
        <v>0</v>
      </c>
    </row>
    <row r="168" spans="1:10" ht="9.75">
      <c r="A168" s="83" t="s">
        <v>149</v>
      </c>
      <c r="B168" s="59">
        <v>912</v>
      </c>
      <c r="C168" s="60">
        <f>VLOOKUP(A168,'2013 TY O&amp;M Exp(RIS)'!$A$5:$C$181,3,FALSE)</f>
        <v>0</v>
      </c>
      <c r="D168" s="60"/>
      <c r="E168" s="60">
        <f>+C168+D168</f>
        <v>0</v>
      </c>
      <c r="F168" s="60"/>
      <c r="G168" s="60">
        <f>+E168+F168</f>
        <v>0</v>
      </c>
      <c r="H168" s="5"/>
      <c r="I168" s="5"/>
      <c r="J168" s="5">
        <f>G168+H168+I168</f>
        <v>0</v>
      </c>
    </row>
    <row r="169" spans="1:10" ht="10.5" thickBot="1">
      <c r="A169" s="83" t="s">
        <v>150</v>
      </c>
      <c r="B169" s="59">
        <v>916</v>
      </c>
      <c r="C169" s="60">
        <f>VLOOKUP(A169,'2013 TY O&amp;M Exp(RIS)'!$A$5:$C$181,3,FALSE)</f>
        <v>15169938.61</v>
      </c>
      <c r="D169" s="61"/>
      <c r="E169" s="61">
        <f>+C169+D169</f>
        <v>15169938.61</v>
      </c>
      <c r="F169" s="61"/>
      <c r="G169" s="61">
        <f>+E169+F169</f>
        <v>15169938.61</v>
      </c>
      <c r="H169" s="5"/>
      <c r="I169" s="5"/>
      <c r="J169" s="5">
        <f>G169+H169+I169</f>
        <v>15169938.61</v>
      </c>
    </row>
    <row r="170" spans="1:10" ht="9.75">
      <c r="A170" s="83" t="s">
        <v>151</v>
      </c>
      <c r="B170" s="59"/>
      <c r="C170" s="60">
        <f aca="true" t="shared" si="33" ref="C170:J170">SUM(C167:C169)</f>
        <v>15169938.61</v>
      </c>
      <c r="D170" s="60">
        <f t="shared" si="33"/>
        <v>0</v>
      </c>
      <c r="E170" s="60">
        <f t="shared" si="33"/>
        <v>15169938.61</v>
      </c>
      <c r="F170" s="60">
        <f t="shared" si="33"/>
        <v>0</v>
      </c>
      <c r="G170" s="70">
        <f t="shared" si="33"/>
        <v>15169938.61</v>
      </c>
      <c r="H170" s="6">
        <f t="shared" si="33"/>
        <v>0</v>
      </c>
      <c r="I170" s="6">
        <f t="shared" si="33"/>
        <v>0</v>
      </c>
      <c r="J170" s="19">
        <f t="shared" si="33"/>
        <v>15169938.61</v>
      </c>
    </row>
    <row r="171" spans="1:10" ht="9.75">
      <c r="A171" s="83"/>
      <c r="B171" s="59"/>
      <c r="C171" s="60"/>
      <c r="D171" s="60"/>
      <c r="E171" s="60"/>
      <c r="F171" s="60"/>
      <c r="G171" s="60"/>
      <c r="H171" s="5"/>
      <c r="I171" s="5"/>
      <c r="J171" s="5"/>
    </row>
    <row r="172" spans="1:10" ht="9.75">
      <c r="A172" s="83"/>
      <c r="B172" s="59"/>
      <c r="C172" s="60"/>
      <c r="D172" s="60"/>
      <c r="E172" s="60"/>
      <c r="F172" s="60"/>
      <c r="G172" s="60"/>
      <c r="H172" s="5"/>
      <c r="I172" s="5"/>
      <c r="J172" s="5"/>
    </row>
    <row r="173" spans="1:10" ht="10.5" thickBot="1">
      <c r="A173" s="84" t="s">
        <v>152</v>
      </c>
      <c r="B173" s="59"/>
      <c r="C173" s="60"/>
      <c r="D173" s="60"/>
      <c r="E173" s="60"/>
      <c r="F173" s="60"/>
      <c r="G173" s="60"/>
      <c r="H173" s="5"/>
      <c r="I173" s="5"/>
      <c r="J173" s="5"/>
    </row>
    <row r="174" spans="1:10" ht="9.75">
      <c r="A174" s="83" t="s">
        <v>153</v>
      </c>
      <c r="B174" s="59">
        <v>920</v>
      </c>
      <c r="C174" s="60">
        <f>VLOOKUP(A174,'2013 TY O&amp;M Exp(RIS)'!$A$5:$C$181,3,FALSE)</f>
        <v>202048226.98</v>
      </c>
      <c r="D174" s="82">
        <f>D225+D227</f>
        <v>-29067539.43</v>
      </c>
      <c r="E174" s="60">
        <f>+C174+D174</f>
        <v>172980687.54999998</v>
      </c>
      <c r="F174" s="87">
        <v>290102</v>
      </c>
      <c r="G174" s="60">
        <f>+E174+F174</f>
        <v>173270789.54999998</v>
      </c>
      <c r="H174" s="5">
        <f>'2013 FO Adjustments'!G33+'2013 FO Adjustments'!G24</f>
        <v>221937.57142857148</v>
      </c>
      <c r="I174" s="5"/>
      <c r="J174" s="5">
        <f aca="true" t="shared" si="34" ref="J174:J214">G174+H174+I174</f>
        <v>173492727.12142855</v>
      </c>
    </row>
    <row r="175" spans="1:10" ht="9.75">
      <c r="A175" s="83" t="s">
        <v>346</v>
      </c>
      <c r="B175" s="59">
        <v>920</v>
      </c>
      <c r="C175" s="60">
        <f>VLOOKUP(A175,'2013 TY O&amp;M Exp(RIS)'!$A$5:$C$181,3,FALSE)</f>
        <v>0</v>
      </c>
      <c r="D175" s="60"/>
      <c r="E175" s="60">
        <f aca="true" t="shared" si="35" ref="E175:E213">+C175+D175</f>
        <v>0</v>
      </c>
      <c r="F175" s="60"/>
      <c r="G175" s="60">
        <f aca="true" t="shared" si="36" ref="G175:G212">+E175+F175</f>
        <v>0</v>
      </c>
      <c r="H175" s="5"/>
      <c r="I175" s="5"/>
      <c r="J175" s="5">
        <f t="shared" si="34"/>
        <v>0</v>
      </c>
    </row>
    <row r="176" spans="1:10" ht="9.75">
      <c r="A176" s="83" t="s">
        <v>155</v>
      </c>
      <c r="B176" s="59">
        <v>921</v>
      </c>
      <c r="C176" s="60">
        <f>VLOOKUP(A176,'2013 TY O&amp;M Exp(RIS)'!$A$5:$C$181,3,FALSE)</f>
        <v>62964861.45</v>
      </c>
      <c r="D176" s="75">
        <f>D226</f>
        <v>-506957.41</v>
      </c>
      <c r="E176" s="60">
        <f t="shared" si="35"/>
        <v>62457904.04000001</v>
      </c>
      <c r="F176" s="60"/>
      <c r="G176" s="60">
        <f t="shared" si="36"/>
        <v>62457904.04000001</v>
      </c>
      <c r="H176" s="5"/>
      <c r="I176" s="5"/>
      <c r="J176" s="5">
        <f t="shared" si="34"/>
        <v>62457904.04000001</v>
      </c>
    </row>
    <row r="177" spans="1:10" ht="9.75">
      <c r="A177" s="83" t="s">
        <v>347</v>
      </c>
      <c r="B177" s="59">
        <v>921</v>
      </c>
      <c r="C177" s="60">
        <f>VLOOKUP(A177,'2013 TY O&amp;M Exp(RIS)'!$A$5:$C$181,3,FALSE)</f>
        <v>0</v>
      </c>
      <c r="D177" s="60"/>
      <c r="E177" s="60">
        <f t="shared" si="35"/>
        <v>0</v>
      </c>
      <c r="F177" s="60"/>
      <c r="G177" s="60">
        <f t="shared" si="36"/>
        <v>0</v>
      </c>
      <c r="H177" s="5"/>
      <c r="I177" s="5"/>
      <c r="J177" s="5">
        <f t="shared" si="34"/>
        <v>0</v>
      </c>
    </row>
    <row r="178" spans="1:10" ht="9.75">
      <c r="A178" s="83" t="s">
        <v>157</v>
      </c>
      <c r="B178" s="59">
        <v>921</v>
      </c>
      <c r="C178" s="60">
        <f>VLOOKUP(A178,'2013 TY O&amp;M Exp(RIS)'!$A$5:$C$181,3,FALSE)</f>
        <v>125000</v>
      </c>
      <c r="D178" s="60">
        <f>-C178</f>
        <v>-125000</v>
      </c>
      <c r="E178" s="60">
        <f>+C178+D178</f>
        <v>0</v>
      </c>
      <c r="F178" s="60"/>
      <c r="G178" s="60">
        <f t="shared" si="36"/>
        <v>0</v>
      </c>
      <c r="H178" s="5"/>
      <c r="I178" s="5"/>
      <c r="J178" s="5">
        <f t="shared" si="34"/>
        <v>0</v>
      </c>
    </row>
    <row r="179" spans="1:10" ht="9.75">
      <c r="A179" s="83" t="s">
        <v>326</v>
      </c>
      <c r="B179" s="59">
        <v>922</v>
      </c>
      <c r="C179" s="60">
        <f>VLOOKUP(A179,'2013 TY O&amp;M Exp(RIS)'!$A$5:$C$181,3,FALSE)</f>
        <v>-80944295.25</v>
      </c>
      <c r="D179" s="60"/>
      <c r="E179" s="60">
        <f t="shared" si="35"/>
        <v>-80944295.25</v>
      </c>
      <c r="F179" s="87">
        <v>-2739693</v>
      </c>
      <c r="G179" s="60">
        <f>+E179+F179</f>
        <v>-83683988.25</v>
      </c>
      <c r="H179" s="5"/>
      <c r="I179" s="5"/>
      <c r="J179" s="5">
        <f t="shared" si="34"/>
        <v>-83683988.25</v>
      </c>
    </row>
    <row r="180" spans="1:10" ht="9.75">
      <c r="A180" s="83" t="s">
        <v>159</v>
      </c>
      <c r="B180" s="59">
        <v>922</v>
      </c>
      <c r="C180" s="60">
        <f>VLOOKUP(A180,'2013 TY O&amp;M Exp(RIS)'!$A$5:$C$181,3,FALSE)</f>
        <v>0</v>
      </c>
      <c r="D180" s="60">
        <f>-C180</f>
        <v>0</v>
      </c>
      <c r="E180" s="60">
        <f t="shared" si="35"/>
        <v>0</v>
      </c>
      <c r="F180" s="60"/>
      <c r="G180" s="60">
        <f t="shared" si="36"/>
        <v>0</v>
      </c>
      <c r="H180" s="5"/>
      <c r="I180" s="5"/>
      <c r="J180" s="5">
        <f t="shared" si="34"/>
        <v>0</v>
      </c>
    </row>
    <row r="181" spans="1:10" ht="9.75">
      <c r="A181" s="83" t="s">
        <v>160</v>
      </c>
      <c r="B181" s="59">
        <v>922</v>
      </c>
      <c r="C181" s="60">
        <f>VLOOKUP(A181,'2013 TY O&amp;M Exp(RIS)'!$A$5:$C$181,3,FALSE)</f>
        <v>0</v>
      </c>
      <c r="D181" s="60"/>
      <c r="E181" s="60">
        <f t="shared" si="35"/>
        <v>0</v>
      </c>
      <c r="F181" s="60"/>
      <c r="G181" s="60">
        <f t="shared" si="36"/>
        <v>0</v>
      </c>
      <c r="H181" s="5"/>
      <c r="I181" s="5"/>
      <c r="J181" s="5">
        <f t="shared" si="34"/>
        <v>0</v>
      </c>
    </row>
    <row r="182" spans="1:10" ht="9.75">
      <c r="A182" s="83" t="s">
        <v>161</v>
      </c>
      <c r="B182" s="59">
        <v>923</v>
      </c>
      <c r="C182" s="60">
        <f>VLOOKUP(A182,'2013 TY O&amp;M Exp(RIS)'!$A$5:$C$181,3,FALSE)</f>
        <v>41412436.62</v>
      </c>
      <c r="D182" s="60"/>
      <c r="E182" s="60">
        <f t="shared" si="35"/>
        <v>41412436.62</v>
      </c>
      <c r="F182" s="60"/>
      <c r="G182" s="60">
        <f t="shared" si="36"/>
        <v>41412436.62</v>
      </c>
      <c r="H182" s="5"/>
      <c r="I182" s="5"/>
      <c r="J182" s="5">
        <f t="shared" si="34"/>
        <v>41412436.62</v>
      </c>
    </row>
    <row r="183" spans="1:10" ht="9.75">
      <c r="A183" s="83" t="s">
        <v>162</v>
      </c>
      <c r="B183" s="59">
        <v>923</v>
      </c>
      <c r="C183" s="60">
        <f>VLOOKUP(A183,'2013 TY O&amp;M Exp(RIS)'!$A$5:$C$181,3,FALSE)</f>
        <v>0</v>
      </c>
      <c r="D183" s="60"/>
      <c r="E183" s="60">
        <f t="shared" si="35"/>
        <v>0</v>
      </c>
      <c r="F183" s="60"/>
      <c r="G183" s="60">
        <f t="shared" si="36"/>
        <v>0</v>
      </c>
      <c r="H183" s="5"/>
      <c r="I183" s="5"/>
      <c r="J183" s="5">
        <f t="shared" si="34"/>
        <v>0</v>
      </c>
    </row>
    <row r="184" spans="1:10" ht="9.75">
      <c r="A184" s="83" t="s">
        <v>163</v>
      </c>
      <c r="B184" s="59">
        <v>923</v>
      </c>
      <c r="C184" s="60">
        <f>VLOOKUP(A184,'2013 TY O&amp;M Exp(RIS)'!$A$5:$C$181,3,FALSE)</f>
        <v>326000</v>
      </c>
      <c r="D184" s="60">
        <f>-C184</f>
        <v>-326000</v>
      </c>
      <c r="E184" s="60">
        <f t="shared" si="35"/>
        <v>0</v>
      </c>
      <c r="F184" s="60"/>
      <c r="G184" s="60">
        <f t="shared" si="36"/>
        <v>0</v>
      </c>
      <c r="H184" s="5"/>
      <c r="I184" s="5"/>
      <c r="J184" s="5">
        <f t="shared" si="34"/>
        <v>0</v>
      </c>
    </row>
    <row r="185" spans="1:10" ht="9.75">
      <c r="A185" s="83" t="s">
        <v>348</v>
      </c>
      <c r="B185" s="59">
        <v>923</v>
      </c>
      <c r="C185" s="60">
        <f>VLOOKUP(A185,'2013 TY O&amp;M Exp(RIS)'!$A$5:$C$181,3,FALSE)</f>
        <v>0</v>
      </c>
      <c r="D185" s="60"/>
      <c r="E185" s="60">
        <f t="shared" si="35"/>
        <v>0</v>
      </c>
      <c r="F185" s="60"/>
      <c r="G185" s="60">
        <f t="shared" si="36"/>
        <v>0</v>
      </c>
      <c r="H185" s="5"/>
      <c r="I185" s="5"/>
      <c r="J185" s="5">
        <f t="shared" si="34"/>
        <v>0</v>
      </c>
    </row>
    <row r="186" spans="1:10" ht="9.75">
      <c r="A186" s="83" t="s">
        <v>164</v>
      </c>
      <c r="B186" s="59">
        <v>924</v>
      </c>
      <c r="C186" s="60">
        <f>VLOOKUP(A186,'2013 TY O&amp;M Exp(RIS)'!$A$5:$C$181,3,FALSE)</f>
        <v>20415986</v>
      </c>
      <c r="D186" s="78">
        <f>D231</f>
        <v>-5047744.71</v>
      </c>
      <c r="E186" s="60">
        <f t="shared" si="35"/>
        <v>15368241.29</v>
      </c>
      <c r="F186" s="60"/>
      <c r="G186" s="60">
        <f t="shared" si="36"/>
        <v>15368241.29</v>
      </c>
      <c r="H186" s="5"/>
      <c r="I186" s="5"/>
      <c r="J186" s="5">
        <f t="shared" si="34"/>
        <v>15368241.29</v>
      </c>
    </row>
    <row r="187" spans="1:10" ht="9.75">
      <c r="A187" s="83" t="s">
        <v>165</v>
      </c>
      <c r="B187" s="59">
        <v>924</v>
      </c>
      <c r="C187" s="60">
        <f>VLOOKUP(A187,'2013 TY O&amp;M Exp(RIS)'!$A$5:$C$181,3,FALSE)</f>
        <v>2288623</v>
      </c>
      <c r="D187" s="60"/>
      <c r="E187" s="60">
        <f t="shared" si="35"/>
        <v>2288623</v>
      </c>
      <c r="F187" s="60"/>
      <c r="G187" s="60">
        <f t="shared" si="36"/>
        <v>2288623</v>
      </c>
      <c r="H187" s="5"/>
      <c r="I187" s="5"/>
      <c r="J187" s="5">
        <f t="shared" si="34"/>
        <v>2288623</v>
      </c>
    </row>
    <row r="188" spans="1:10" ht="9.75">
      <c r="A188" s="83" t="s">
        <v>166</v>
      </c>
      <c r="B188" s="59">
        <v>924</v>
      </c>
      <c r="C188" s="60">
        <f>VLOOKUP(A188,'2013 TY O&amp;M Exp(RIS)'!$A$5:$C$181,3,FALSE)</f>
        <v>0</v>
      </c>
      <c r="D188" s="60">
        <f>-C188</f>
        <v>0</v>
      </c>
      <c r="E188" s="60">
        <f t="shared" si="35"/>
        <v>0</v>
      </c>
      <c r="F188" s="60"/>
      <c r="G188" s="60">
        <f t="shared" si="36"/>
        <v>0</v>
      </c>
      <c r="H188" s="5"/>
      <c r="I188" s="5"/>
      <c r="J188" s="5">
        <f t="shared" si="34"/>
        <v>0</v>
      </c>
    </row>
    <row r="189" spans="1:10" ht="9.75">
      <c r="A189" s="83" t="s">
        <v>167</v>
      </c>
      <c r="B189" s="59">
        <v>924</v>
      </c>
      <c r="C189" s="60">
        <f>VLOOKUP(A189,'2013 TY O&amp;M Exp(RIS)'!$A$5:$C$181,3,FALSE)</f>
        <v>0</v>
      </c>
      <c r="D189" s="60"/>
      <c r="E189" s="60">
        <f t="shared" si="35"/>
        <v>0</v>
      </c>
      <c r="F189" s="60"/>
      <c r="G189" s="60">
        <f t="shared" si="36"/>
        <v>0</v>
      </c>
      <c r="H189" s="5"/>
      <c r="I189" s="5"/>
      <c r="J189" s="5">
        <f t="shared" si="34"/>
        <v>0</v>
      </c>
    </row>
    <row r="190" spans="1:10" ht="9.75">
      <c r="A190" s="83" t="s">
        <v>168</v>
      </c>
      <c r="B190" s="59">
        <v>925</v>
      </c>
      <c r="C190" s="60">
        <f>VLOOKUP(A190,'2013 TY O&amp;M Exp(RIS)'!$A$5:$C$181,3,FALSE)</f>
        <v>30667746.96</v>
      </c>
      <c r="D190" s="60"/>
      <c r="E190" s="60">
        <f t="shared" si="35"/>
        <v>30667746.96</v>
      </c>
      <c r="F190" s="87">
        <v>-12789</v>
      </c>
      <c r="G190" s="60">
        <f>+E190+F190</f>
        <v>30654957.96</v>
      </c>
      <c r="H190" s="5"/>
      <c r="I190" s="5"/>
      <c r="J190" s="5">
        <f t="shared" si="34"/>
        <v>30654957.96</v>
      </c>
    </row>
    <row r="191" spans="1:10" ht="9.75">
      <c r="A191" s="83" t="s">
        <v>169</v>
      </c>
      <c r="B191" s="59">
        <v>925</v>
      </c>
      <c r="C191" s="60">
        <f>VLOOKUP(A191,'2013 TY O&amp;M Exp(RIS)'!$A$5:$C$181,3,FALSE)</f>
        <v>370070.97</v>
      </c>
      <c r="D191" s="60">
        <f>-C191</f>
        <v>-370070.97</v>
      </c>
      <c r="E191" s="60">
        <f t="shared" si="35"/>
        <v>0</v>
      </c>
      <c r="F191" s="60"/>
      <c r="G191" s="60">
        <f t="shared" si="36"/>
        <v>0</v>
      </c>
      <c r="H191" s="5"/>
      <c r="I191" s="5"/>
      <c r="J191" s="5">
        <f t="shared" si="34"/>
        <v>0</v>
      </c>
    </row>
    <row r="192" spans="1:10" ht="9.75">
      <c r="A192" s="83" t="s">
        <v>349</v>
      </c>
      <c r="B192" s="59">
        <v>925</v>
      </c>
      <c r="C192" s="60">
        <f>VLOOKUP(A192,'2013 TY O&amp;M Exp(RIS)'!$A$5:$C$181,3,FALSE)</f>
        <v>0</v>
      </c>
      <c r="D192" s="60">
        <f>-C192</f>
        <v>0</v>
      </c>
      <c r="E192" s="60">
        <f t="shared" si="35"/>
        <v>0</v>
      </c>
      <c r="F192" s="60"/>
      <c r="G192" s="60">
        <f t="shared" si="36"/>
        <v>0</v>
      </c>
      <c r="H192" s="5"/>
      <c r="I192" s="5"/>
      <c r="J192" s="5">
        <f t="shared" si="34"/>
        <v>0</v>
      </c>
    </row>
    <row r="193" spans="1:10" ht="9.75">
      <c r="A193" s="83" t="s">
        <v>350</v>
      </c>
      <c r="B193" s="59">
        <v>925</v>
      </c>
      <c r="C193" s="60">
        <f>VLOOKUP(A193,'2013 TY O&amp;M Exp(RIS)'!$A$5:$C$181,3,FALSE)</f>
        <v>362273.58</v>
      </c>
      <c r="D193" s="60">
        <f>-C193</f>
        <v>-362273.58</v>
      </c>
      <c r="E193" s="60">
        <f t="shared" si="35"/>
        <v>0</v>
      </c>
      <c r="F193" s="60"/>
      <c r="G193" s="60">
        <f t="shared" si="36"/>
        <v>0</v>
      </c>
      <c r="H193" s="5"/>
      <c r="I193" s="5"/>
      <c r="J193" s="5">
        <f t="shared" si="34"/>
        <v>0</v>
      </c>
    </row>
    <row r="194" spans="1:10" ht="9.75">
      <c r="A194" s="83" t="s">
        <v>351</v>
      </c>
      <c r="B194" s="59">
        <v>925</v>
      </c>
      <c r="C194" s="60">
        <f>VLOOKUP(A194,'2013 TY O&amp;M Exp(RIS)'!$A$5:$C$181,3,FALSE)</f>
        <v>19041.47</v>
      </c>
      <c r="D194" s="60">
        <f>-C194</f>
        <v>-19041.47</v>
      </c>
      <c r="E194" s="60">
        <f t="shared" si="35"/>
        <v>0</v>
      </c>
      <c r="F194" s="60"/>
      <c r="G194" s="60">
        <f t="shared" si="36"/>
        <v>0</v>
      </c>
      <c r="H194" s="5"/>
      <c r="I194" s="5"/>
      <c r="J194" s="5">
        <f t="shared" si="34"/>
        <v>0</v>
      </c>
    </row>
    <row r="195" spans="1:10" ht="9.75">
      <c r="A195" s="83" t="s">
        <v>170</v>
      </c>
      <c r="B195" s="59">
        <v>925</v>
      </c>
      <c r="C195" s="60">
        <f>VLOOKUP(A195,'2013 TY O&amp;M Exp(RIS)'!$A$5:$C$181,3,FALSE)</f>
        <v>0</v>
      </c>
      <c r="D195" s="60"/>
      <c r="E195" s="60">
        <f t="shared" si="35"/>
        <v>0</v>
      </c>
      <c r="F195" s="60"/>
      <c r="G195" s="60">
        <f t="shared" si="36"/>
        <v>0</v>
      </c>
      <c r="H195" s="5"/>
      <c r="I195" s="5"/>
      <c r="J195" s="5">
        <f t="shared" si="34"/>
        <v>0</v>
      </c>
    </row>
    <row r="196" spans="1:10" ht="9.75">
      <c r="A196" s="83" t="s">
        <v>171</v>
      </c>
      <c r="B196" s="59">
        <v>926</v>
      </c>
      <c r="C196" s="60">
        <f>VLOOKUP(A196,'2013 TY O&amp;M Exp(RIS)'!$A$5:$C$181,3,FALSE)</f>
        <v>107783315.89</v>
      </c>
      <c r="D196" s="60"/>
      <c r="E196" s="60">
        <f t="shared" si="35"/>
        <v>107783315.89</v>
      </c>
      <c r="F196" s="87">
        <v>-1242822</v>
      </c>
      <c r="G196" s="60">
        <f>+E196+F196</f>
        <v>106540493.89</v>
      </c>
      <c r="H196" s="5">
        <f>'2013 FO Adjustments'!G8</f>
        <v>-2946638.0911</v>
      </c>
      <c r="I196" s="62">
        <f>'2013 Comp Adj'!E95+'2013 Comp Adj'!E98</f>
        <v>-2103154.62</v>
      </c>
      <c r="J196" s="5">
        <f t="shared" si="34"/>
        <v>101490701.1789</v>
      </c>
    </row>
    <row r="197" spans="1:10" ht="9.75">
      <c r="A197" s="83" t="s">
        <v>172</v>
      </c>
      <c r="B197" s="59">
        <v>926</v>
      </c>
      <c r="C197" s="60">
        <f>VLOOKUP(A197,'2013 TY O&amp;M Exp(RIS)'!$A$5:$C$181,3,FALSE)</f>
        <v>0</v>
      </c>
      <c r="D197" s="60">
        <f>-C197</f>
        <v>0</v>
      </c>
      <c r="E197" s="60">
        <f t="shared" si="35"/>
        <v>0</v>
      </c>
      <c r="F197" s="60"/>
      <c r="G197" s="60">
        <f t="shared" si="36"/>
        <v>0</v>
      </c>
      <c r="H197" s="5"/>
      <c r="I197" s="62"/>
      <c r="J197" s="5">
        <f t="shared" si="34"/>
        <v>0</v>
      </c>
    </row>
    <row r="198" spans="1:10" ht="9.75">
      <c r="A198" s="83" t="s">
        <v>173</v>
      </c>
      <c r="B198" s="59">
        <v>926</v>
      </c>
      <c r="C198" s="60">
        <f>VLOOKUP(A198,'2013 TY O&amp;M Exp(RIS)'!$A$5:$C$181,3,FALSE)</f>
        <v>359695.26</v>
      </c>
      <c r="D198" s="60">
        <f>-C198</f>
        <v>-359695.26</v>
      </c>
      <c r="E198" s="60">
        <f t="shared" si="35"/>
        <v>0</v>
      </c>
      <c r="F198" s="60"/>
      <c r="G198" s="60">
        <f t="shared" si="36"/>
        <v>0</v>
      </c>
      <c r="H198" s="5"/>
      <c r="I198" s="62"/>
      <c r="J198" s="5">
        <f t="shared" si="34"/>
        <v>0</v>
      </c>
    </row>
    <row r="199" spans="1:10" ht="9.75">
      <c r="A199" s="83" t="s">
        <v>352</v>
      </c>
      <c r="B199" s="59">
        <v>926</v>
      </c>
      <c r="C199" s="60">
        <f>VLOOKUP(A199,'2013 TY O&amp;M Exp(RIS)'!$A$5:$C$181,3,FALSE)</f>
        <v>-1585.94</v>
      </c>
      <c r="D199" s="60">
        <f>-C199</f>
        <v>1585.94</v>
      </c>
      <c r="E199" s="60">
        <f t="shared" si="35"/>
        <v>0</v>
      </c>
      <c r="F199" s="60"/>
      <c r="G199" s="60">
        <f t="shared" si="36"/>
        <v>0</v>
      </c>
      <c r="H199" s="5"/>
      <c r="I199" s="62"/>
      <c r="J199" s="5">
        <f t="shared" si="34"/>
        <v>0</v>
      </c>
    </row>
    <row r="200" spans="1:10" ht="9.75">
      <c r="A200" s="83" t="s">
        <v>353</v>
      </c>
      <c r="B200" s="59">
        <v>926</v>
      </c>
      <c r="C200" s="60">
        <f>VLOOKUP(A200,'2013 TY O&amp;M Exp(RIS)'!$A$5:$C$181,3,FALSE)</f>
        <v>0</v>
      </c>
      <c r="D200" s="60">
        <f>-C200</f>
        <v>0</v>
      </c>
      <c r="E200" s="60">
        <f t="shared" si="35"/>
        <v>0</v>
      </c>
      <c r="F200" s="60"/>
      <c r="G200" s="60">
        <f t="shared" si="36"/>
        <v>0</v>
      </c>
      <c r="H200" s="5"/>
      <c r="I200" s="62"/>
      <c r="J200" s="5">
        <f t="shared" si="34"/>
        <v>0</v>
      </c>
    </row>
    <row r="201" spans="1:10" ht="9.75">
      <c r="A201" s="83" t="s">
        <v>174</v>
      </c>
      <c r="B201" s="59">
        <v>926</v>
      </c>
      <c r="C201" s="60">
        <f>VLOOKUP(A201,'2013 TY O&amp;M Exp(RIS)'!$A$5:$C$181,3,FALSE)</f>
        <v>3463507.15</v>
      </c>
      <c r="D201" s="60">
        <f>-C201</f>
        <v>-3463507.15</v>
      </c>
      <c r="E201" s="60">
        <f t="shared" si="35"/>
        <v>0</v>
      </c>
      <c r="F201" s="60"/>
      <c r="G201" s="60">
        <f t="shared" si="36"/>
        <v>0</v>
      </c>
      <c r="H201" s="5"/>
      <c r="I201" s="62"/>
      <c r="J201" s="5">
        <f t="shared" si="34"/>
        <v>0</v>
      </c>
    </row>
    <row r="202" spans="1:10" ht="9.75">
      <c r="A202" s="83" t="s">
        <v>354</v>
      </c>
      <c r="B202" s="59">
        <v>926</v>
      </c>
      <c r="C202" s="60">
        <f>VLOOKUP(A202,'2013 TY O&amp;M Exp(RIS)'!$A$5:$C$181,3,FALSE)</f>
        <v>0</v>
      </c>
      <c r="D202" s="60"/>
      <c r="E202" s="60">
        <f t="shared" si="35"/>
        <v>0</v>
      </c>
      <c r="F202" s="60"/>
      <c r="G202" s="60">
        <f t="shared" si="36"/>
        <v>0</v>
      </c>
      <c r="H202" s="5"/>
      <c r="I202" s="62"/>
      <c r="J202" s="5">
        <f t="shared" si="34"/>
        <v>0</v>
      </c>
    </row>
    <row r="203" spans="1:10" ht="9.75">
      <c r="A203" s="83" t="s">
        <v>176</v>
      </c>
      <c r="B203" s="59">
        <v>926</v>
      </c>
      <c r="C203" s="60">
        <f>VLOOKUP(A203,'2013 TY O&amp;M Exp(RIS)'!$A$5:$C$181,3,FALSE)</f>
        <v>0</v>
      </c>
      <c r="D203" s="60"/>
      <c r="E203" s="60">
        <f t="shared" si="35"/>
        <v>0</v>
      </c>
      <c r="F203" s="60"/>
      <c r="G203" s="60">
        <f t="shared" si="36"/>
        <v>0</v>
      </c>
      <c r="H203" s="5"/>
      <c r="I203" s="62"/>
      <c r="J203" s="5">
        <f t="shared" si="34"/>
        <v>0</v>
      </c>
    </row>
    <row r="204" spans="1:10" ht="9.75">
      <c r="A204" s="83" t="s">
        <v>177</v>
      </c>
      <c r="B204" s="59">
        <v>928</v>
      </c>
      <c r="C204" s="60">
        <f>VLOOKUP(A204,'2013 TY O&amp;M Exp(RIS)'!$A$5:$C$181,3,FALSE)</f>
        <v>2457679.5</v>
      </c>
      <c r="D204" s="60"/>
      <c r="E204" s="60">
        <f t="shared" si="35"/>
        <v>2457679.5</v>
      </c>
      <c r="F204" s="60"/>
      <c r="G204" s="60">
        <f t="shared" si="36"/>
        <v>2457679.5</v>
      </c>
      <c r="H204" s="5"/>
      <c r="I204" s="62">
        <f>'2013 Comp Adj'!E77</f>
        <v>1378749.96</v>
      </c>
      <c r="J204" s="5">
        <f t="shared" si="34"/>
        <v>3836429.46</v>
      </c>
    </row>
    <row r="205" spans="1:10" ht="9.75">
      <c r="A205" s="83" t="s">
        <v>178</v>
      </c>
      <c r="B205" s="59">
        <v>928</v>
      </c>
      <c r="C205" s="60">
        <f>VLOOKUP(A205,'2013 TY O&amp;M Exp(RIS)'!$A$5:$C$181,3,FALSE)</f>
        <v>539580.01</v>
      </c>
      <c r="D205" s="60"/>
      <c r="E205" s="60">
        <f t="shared" si="35"/>
        <v>539580.01</v>
      </c>
      <c r="F205" s="60"/>
      <c r="G205" s="60">
        <f t="shared" si="36"/>
        <v>539580.01</v>
      </c>
      <c r="H205" s="5"/>
      <c r="I205" s="5"/>
      <c r="J205" s="5">
        <f t="shared" si="34"/>
        <v>539580.01</v>
      </c>
    </row>
    <row r="206" spans="1:10" ht="9.75">
      <c r="A206" s="83" t="s">
        <v>355</v>
      </c>
      <c r="B206" s="59">
        <v>928</v>
      </c>
      <c r="C206" s="60">
        <f>VLOOKUP(A206,'2013 TY O&amp;M Exp(RIS)'!$A$5:$C$181,3,FALSE)</f>
        <v>860000.04</v>
      </c>
      <c r="D206" s="60"/>
      <c r="E206" s="60">
        <f t="shared" si="35"/>
        <v>860000.04</v>
      </c>
      <c r="F206" s="60"/>
      <c r="G206" s="60">
        <f t="shared" si="36"/>
        <v>860000.04</v>
      </c>
      <c r="H206" s="5"/>
      <c r="I206" s="5"/>
      <c r="J206" s="5">
        <f t="shared" si="34"/>
        <v>860000.04</v>
      </c>
    </row>
    <row r="207" spans="1:10" ht="9.75">
      <c r="A207" s="83" t="s">
        <v>327</v>
      </c>
      <c r="B207" s="59">
        <v>929</v>
      </c>
      <c r="C207" s="60">
        <f>VLOOKUP(A207,'2013 TY O&amp;M Exp(RIS)'!$A$5:$C$181,3,FALSE)</f>
        <v>0.01</v>
      </c>
      <c r="D207" s="60">
        <f>-C207</f>
        <v>-0.01</v>
      </c>
      <c r="E207" s="60">
        <f t="shared" si="35"/>
        <v>0</v>
      </c>
      <c r="F207" s="60"/>
      <c r="G207" s="60">
        <f t="shared" si="36"/>
        <v>0</v>
      </c>
      <c r="H207" s="5"/>
      <c r="I207" s="5"/>
      <c r="J207" s="5">
        <f t="shared" si="34"/>
        <v>0</v>
      </c>
    </row>
    <row r="208" spans="1:10" ht="9.75">
      <c r="A208" s="83" t="s">
        <v>181</v>
      </c>
      <c r="B208" s="59">
        <v>930</v>
      </c>
      <c r="C208" s="60">
        <f>VLOOKUP(A208,'2013 TY O&amp;M Exp(RIS)'!$A$5:$C$181,3,FALSE)</f>
        <v>18315839.1</v>
      </c>
      <c r="D208" s="80">
        <f>D228+D229+D230</f>
        <v>1089562.29</v>
      </c>
      <c r="E208" s="60">
        <f t="shared" si="35"/>
        <v>19405401.39</v>
      </c>
      <c r="F208" s="60"/>
      <c r="G208" s="60">
        <f t="shared" si="36"/>
        <v>19405401.39</v>
      </c>
      <c r="H208" s="5"/>
      <c r="I208" s="5"/>
      <c r="J208" s="5">
        <f t="shared" si="34"/>
        <v>19405401.39</v>
      </c>
    </row>
    <row r="209" spans="1:10" ht="9.75">
      <c r="A209" s="83" t="s">
        <v>182</v>
      </c>
      <c r="B209" s="59">
        <v>930</v>
      </c>
      <c r="C209" s="60">
        <f>VLOOKUP(A209,'2013 TY O&amp;M Exp(RIS)'!$A$5:$C$181,3,FALSE)</f>
        <v>0</v>
      </c>
      <c r="D209" s="60"/>
      <c r="E209" s="60">
        <f t="shared" si="35"/>
        <v>0</v>
      </c>
      <c r="F209" s="60"/>
      <c r="G209" s="60">
        <f t="shared" si="36"/>
        <v>0</v>
      </c>
      <c r="H209" s="5"/>
      <c r="I209" s="5"/>
      <c r="J209" s="5">
        <f t="shared" si="34"/>
        <v>0</v>
      </c>
    </row>
    <row r="210" spans="1:10" ht="9.75">
      <c r="A210" s="83" t="s">
        <v>183</v>
      </c>
      <c r="B210" s="59">
        <v>930</v>
      </c>
      <c r="C210" s="60">
        <f>VLOOKUP(A210,'2013 TY O&amp;M Exp(RIS)'!$A$5:$C$181,3,FALSE)</f>
        <v>0</v>
      </c>
      <c r="D210" s="60"/>
      <c r="E210" s="60">
        <f t="shared" si="35"/>
        <v>0</v>
      </c>
      <c r="F210" s="60"/>
      <c r="G210" s="60">
        <f t="shared" si="36"/>
        <v>0</v>
      </c>
      <c r="H210" s="5"/>
      <c r="I210" s="5"/>
      <c r="J210" s="5">
        <f t="shared" si="34"/>
        <v>0</v>
      </c>
    </row>
    <row r="211" spans="1:10" ht="9.75">
      <c r="A211" s="1" t="s">
        <v>184</v>
      </c>
      <c r="B211" s="59">
        <v>931</v>
      </c>
      <c r="C211" s="60">
        <f>VLOOKUP(A211,'2013 TY O&amp;M Exp(RIS)'!$A$5:$C$181,3,FALSE)</f>
        <v>9261281.63</v>
      </c>
      <c r="D211" s="60"/>
      <c r="E211" s="60">
        <f t="shared" si="35"/>
        <v>9261281.63</v>
      </c>
      <c r="F211" s="60"/>
      <c r="G211" s="60">
        <f t="shared" si="36"/>
        <v>9261281.63</v>
      </c>
      <c r="H211" s="5"/>
      <c r="I211" s="5"/>
      <c r="J211" s="5">
        <f t="shared" si="34"/>
        <v>9261281.63</v>
      </c>
    </row>
    <row r="212" spans="1:10" ht="9.75">
      <c r="A212" s="1" t="s">
        <v>185</v>
      </c>
      <c r="B212" s="59">
        <v>931</v>
      </c>
      <c r="C212" s="60">
        <f>VLOOKUP(A212,'2013 TY O&amp;M Exp(RIS)'!$A$5:$C$181,3,FALSE)</f>
        <v>0</v>
      </c>
      <c r="D212" s="60">
        <f>-C212</f>
        <v>0</v>
      </c>
      <c r="E212" s="60">
        <f t="shared" si="35"/>
        <v>0</v>
      </c>
      <c r="F212" s="60"/>
      <c r="G212" s="60">
        <f t="shared" si="36"/>
        <v>0</v>
      </c>
      <c r="H212" s="5"/>
      <c r="I212" s="5"/>
      <c r="J212" s="5">
        <f t="shared" si="34"/>
        <v>0</v>
      </c>
    </row>
    <row r="213" spans="1:10" ht="9.75">
      <c r="A213" s="1" t="s">
        <v>186</v>
      </c>
      <c r="B213" s="59">
        <v>935</v>
      </c>
      <c r="C213" s="60">
        <f>VLOOKUP(A213,'2013 TY O&amp;M Exp(RIS)'!$A$5:$C$181,3,FALSE)</f>
        <v>10924837.22</v>
      </c>
      <c r="D213" s="60"/>
      <c r="E213" s="60">
        <f t="shared" si="35"/>
        <v>10924837.22</v>
      </c>
      <c r="F213" s="60"/>
      <c r="G213" s="60">
        <f>+E213+F213</f>
        <v>10924837.22</v>
      </c>
      <c r="H213" s="5"/>
      <c r="I213" s="5"/>
      <c r="J213" s="5">
        <f t="shared" si="34"/>
        <v>10924837.22</v>
      </c>
    </row>
    <row r="214" spans="1:10" ht="10.5" thickBot="1">
      <c r="A214" s="1" t="s">
        <v>356</v>
      </c>
      <c r="B214" s="59">
        <v>935</v>
      </c>
      <c r="C214" s="60">
        <f>VLOOKUP(A214,'2013 TY O&amp;M Exp(RIS)'!$A$5:$C$181,3,FALSE)</f>
        <v>0</v>
      </c>
      <c r="D214" s="61">
        <f>-C214</f>
        <v>0</v>
      </c>
      <c r="E214" s="61">
        <f>+C214+D214</f>
        <v>0</v>
      </c>
      <c r="F214" s="61"/>
      <c r="G214" s="61">
        <f>+E214+F214</f>
        <v>0</v>
      </c>
      <c r="H214" s="5"/>
      <c r="I214" s="5"/>
      <c r="J214" s="5">
        <f t="shared" si="34"/>
        <v>0</v>
      </c>
    </row>
    <row r="215" spans="1:10" ht="9.75">
      <c r="A215" s="1"/>
      <c r="B215" s="59"/>
      <c r="C215" s="60">
        <f aca="true" t="shared" si="37" ref="C215:J215">SUM(C174:C214)</f>
        <v>434020121.65000004</v>
      </c>
      <c r="D215" s="60">
        <f t="shared" si="37"/>
        <v>-38556681.75999999</v>
      </c>
      <c r="E215" s="60">
        <f t="shared" si="37"/>
        <v>395463439.89</v>
      </c>
      <c r="F215" s="60">
        <f t="shared" si="37"/>
        <v>-3705202</v>
      </c>
      <c r="G215" s="70">
        <f t="shared" si="37"/>
        <v>391758237.89</v>
      </c>
      <c r="H215" s="6">
        <f t="shared" si="37"/>
        <v>-2724700.5196714285</v>
      </c>
      <c r="I215" s="6">
        <f>SUM(I174:I214)</f>
        <v>-724404.6600000001</v>
      </c>
      <c r="J215" s="6">
        <f t="shared" si="37"/>
        <v>388309132.7103286</v>
      </c>
    </row>
    <row r="216" spans="1:7" ht="9.75">
      <c r="A216" s="1"/>
      <c r="B216" s="59"/>
      <c r="C216" s="60"/>
      <c r="D216" s="60"/>
      <c r="E216" s="60"/>
      <c r="F216" s="60"/>
      <c r="G216" s="60"/>
    </row>
    <row r="217" spans="1:10" ht="9.75">
      <c r="A217" s="72" t="s">
        <v>328</v>
      </c>
      <c r="B217" s="59"/>
      <c r="C217" s="60">
        <f>+C215+C170+C164+C152+C142+C117+C93+C81+C57+C27</f>
        <v>6191209476.139999</v>
      </c>
      <c r="D217" s="60">
        <f>+D215+D170+D164+D152+D142+D117+D93+D81+D57+D27</f>
        <v>-4584511504.75</v>
      </c>
      <c r="E217" s="60">
        <f>+E215+E170+E164+E152+E142+E117+E93+E81+E57+E27</f>
        <v>1606697971.39</v>
      </c>
      <c r="F217" s="60">
        <f>+F215+F170+F164+F152+F142+F117+F93+F81+F57+F27</f>
        <v>-43747339.29</v>
      </c>
      <c r="G217" s="70">
        <f>+G215+G170+G164+G152+G142+G117+G93+G81+G57+G27</f>
        <v>1562950632.1</v>
      </c>
      <c r="H217" s="4">
        <f>H27+H57+H81+H93+H117+H142+H152+H164+H170+H215</f>
        <v>-2724700.5196714285</v>
      </c>
      <c r="I217" s="4">
        <f>I27+I57+I81+I93+I117+I142+I152+I164+I170+I215</f>
        <v>-1284636.6600000001</v>
      </c>
      <c r="J217" s="20">
        <f>J27+J57+J81+J93+J117+J142+J152+J164+J170+J215</f>
        <v>1558941294.9203284</v>
      </c>
    </row>
    <row r="218" spans="1:7" ht="9.75">
      <c r="A218" s="2" t="s">
        <v>189</v>
      </c>
      <c r="D218" s="62"/>
      <c r="E218" s="62"/>
      <c r="F218" s="62"/>
      <c r="G218" s="62"/>
    </row>
    <row r="219" spans="1:10" ht="9.75">
      <c r="A219" s="2" t="s">
        <v>376</v>
      </c>
      <c r="D219" s="62"/>
      <c r="E219" s="62"/>
      <c r="F219" s="62"/>
      <c r="G219" s="62"/>
      <c r="H219" s="207" t="b">
        <f>H217='2013 FO Adjustments'!G36</f>
        <v>1</v>
      </c>
      <c r="I219" s="207"/>
      <c r="J219" s="207" t="b">
        <f>J217/1000='BM 2013-2018'!B28</f>
        <v>1</v>
      </c>
    </row>
    <row r="220" spans="1:10" ht="38.25" customHeight="1">
      <c r="A220" s="91" t="s">
        <v>377</v>
      </c>
      <c r="D220" s="62"/>
      <c r="E220" s="62"/>
      <c r="F220" s="88">
        <f>F215+F31</f>
        <v>-4782185</v>
      </c>
      <c r="G220" s="89"/>
      <c r="H220" s="3"/>
      <c r="I220" s="3"/>
      <c r="J220" s="3"/>
    </row>
    <row r="221" spans="4:10" ht="9.75">
      <c r="D221" s="62"/>
      <c r="E221" s="62"/>
      <c r="F221" s="62"/>
      <c r="G221" s="62"/>
      <c r="H221" s="3"/>
      <c r="I221" s="3"/>
      <c r="J221" s="3"/>
    </row>
    <row r="222" spans="4:10" ht="9.75">
      <c r="D222" s="62"/>
      <c r="E222" s="62"/>
      <c r="F222" s="62"/>
      <c r="G222" s="62"/>
      <c r="H222" s="3"/>
      <c r="I222" s="3"/>
      <c r="J222" s="3"/>
    </row>
    <row r="223" spans="4:10" ht="9.75">
      <c r="D223" s="62"/>
      <c r="E223" s="62"/>
      <c r="F223" s="62"/>
      <c r="G223" s="62"/>
      <c r="H223" s="3"/>
      <c r="I223" s="3"/>
      <c r="J223" s="3"/>
    </row>
    <row r="224" spans="1:10" ht="10.5" thickBot="1">
      <c r="A224" s="90" t="s">
        <v>361</v>
      </c>
      <c r="D224" s="62"/>
      <c r="E224" s="62"/>
      <c r="F224" s="62"/>
      <c r="G224" s="62"/>
      <c r="H224" s="3"/>
      <c r="I224" s="3"/>
      <c r="J224" s="3"/>
    </row>
    <row r="225" spans="1:10" ht="9.75">
      <c r="A225" s="2" t="s">
        <v>363</v>
      </c>
      <c r="B225" s="52" t="s">
        <v>364</v>
      </c>
      <c r="D225" s="81">
        <v>-28897940.43</v>
      </c>
      <c r="E225" s="62"/>
      <c r="F225" s="62"/>
      <c r="G225" s="62"/>
      <c r="H225" s="3"/>
      <c r="I225" s="3"/>
      <c r="J225" s="3"/>
    </row>
    <row r="226" spans="1:10" ht="9.75">
      <c r="A226" s="2" t="s">
        <v>362</v>
      </c>
      <c r="B226" s="52" t="s">
        <v>365</v>
      </c>
      <c r="D226" s="76">
        <v>-506957.41</v>
      </c>
      <c r="E226" s="62"/>
      <c r="F226" s="62"/>
      <c r="G226" s="62"/>
      <c r="H226" s="3"/>
      <c r="I226" s="3"/>
      <c r="J226" s="3"/>
    </row>
    <row r="227" spans="1:10" ht="9.75">
      <c r="A227" s="2" t="s">
        <v>366</v>
      </c>
      <c r="B227" s="52" t="s">
        <v>364</v>
      </c>
      <c r="D227" s="81">
        <f>-169599</f>
        <v>-169599</v>
      </c>
      <c r="E227" s="62"/>
      <c r="F227" s="62"/>
      <c r="G227" s="62"/>
      <c r="H227" s="3"/>
      <c r="I227" s="3"/>
      <c r="J227" s="3"/>
    </row>
    <row r="228" spans="1:10" ht="9.75">
      <c r="A228" s="2" t="s">
        <v>367</v>
      </c>
      <c r="B228" s="52" t="s">
        <v>368</v>
      </c>
      <c r="D228" s="79">
        <v>-150000</v>
      </c>
      <c r="E228" s="62"/>
      <c r="F228" s="62"/>
      <c r="G228" s="62"/>
      <c r="H228" s="3"/>
      <c r="I228" s="3"/>
      <c r="J228" s="3"/>
    </row>
    <row r="229" spans="1:10" ht="9.75">
      <c r="A229" s="2" t="s">
        <v>369</v>
      </c>
      <c r="B229" s="52" t="s">
        <v>368</v>
      </c>
      <c r="D229" s="79">
        <v>-420157.71</v>
      </c>
      <c r="E229" s="62"/>
      <c r="F229" s="62"/>
      <c r="G229" s="62"/>
      <c r="H229" s="3"/>
      <c r="I229" s="3"/>
      <c r="J229" s="3"/>
    </row>
    <row r="230" spans="1:10" ht="9.75">
      <c r="A230" s="2" t="s">
        <v>370</v>
      </c>
      <c r="B230" s="52" t="s">
        <v>368</v>
      </c>
      <c r="D230" s="79">
        <v>1659720</v>
      </c>
      <c r="E230" s="62"/>
      <c r="F230" s="62"/>
      <c r="G230" s="62"/>
      <c r="H230" s="3"/>
      <c r="I230" s="3"/>
      <c r="J230" s="3"/>
    </row>
    <row r="231" spans="1:10" ht="10.5" thickBot="1">
      <c r="A231" s="2" t="s">
        <v>373</v>
      </c>
      <c r="B231" s="52" t="s">
        <v>371</v>
      </c>
      <c r="D231" s="77">
        <v>-5047744.71</v>
      </c>
      <c r="E231" s="62"/>
      <c r="F231" s="62"/>
      <c r="G231" s="62"/>
      <c r="H231" s="3"/>
      <c r="I231" s="3"/>
      <c r="J231" s="3"/>
    </row>
    <row r="232" spans="1:10" ht="9.75">
      <c r="A232" s="2" t="s">
        <v>372</v>
      </c>
      <c r="D232" s="74">
        <f>SUM(D225:D231)</f>
        <v>-33532679.26</v>
      </c>
      <c r="E232" s="62"/>
      <c r="F232" s="62"/>
      <c r="G232" s="62"/>
      <c r="H232" s="3"/>
      <c r="I232" s="3"/>
      <c r="J232" s="3"/>
    </row>
    <row r="233" spans="4:10" ht="9.75">
      <c r="D233" s="62"/>
      <c r="E233" s="62"/>
      <c r="F233" s="62"/>
      <c r="G233" s="62"/>
      <c r="H233" s="3"/>
      <c r="I233" s="3"/>
      <c r="J233" s="3"/>
    </row>
    <row r="234" spans="1:10" ht="9.75">
      <c r="A234" s="2" t="s">
        <v>210</v>
      </c>
      <c r="D234" s="62"/>
      <c r="E234" s="62"/>
      <c r="F234" s="62"/>
      <c r="G234" s="62"/>
      <c r="H234" s="3"/>
      <c r="I234" s="3"/>
      <c r="J234" s="3"/>
    </row>
    <row r="235" spans="4:10" ht="9.75">
      <c r="D235" s="62"/>
      <c r="E235" s="62"/>
      <c r="F235" s="62"/>
      <c r="G235" s="62"/>
      <c r="H235" s="3"/>
      <c r="I235" s="3"/>
      <c r="J235" s="3"/>
    </row>
    <row r="236" spans="4:10" ht="9.75">
      <c r="D236" s="62"/>
      <c r="E236" s="62"/>
      <c r="F236" s="62"/>
      <c r="G236" s="62"/>
      <c r="H236" s="3"/>
      <c r="I236" s="3"/>
      <c r="J236" s="3"/>
    </row>
    <row r="237" spans="4:10" ht="9.75">
      <c r="D237" s="62"/>
      <c r="E237" s="62"/>
      <c r="F237" s="62"/>
      <c r="G237" s="62"/>
      <c r="H237" s="3"/>
      <c r="I237" s="3"/>
      <c r="J237" s="3"/>
    </row>
    <row r="238" spans="4:10" ht="9.75">
      <c r="D238" s="62"/>
      <c r="E238" s="62"/>
      <c r="F238" s="62"/>
      <c r="G238" s="62"/>
      <c r="H238" s="3"/>
      <c r="I238" s="3"/>
      <c r="J238" s="3"/>
    </row>
    <row r="239" spans="4:10" ht="9.75">
      <c r="D239" s="62"/>
      <c r="E239" s="62"/>
      <c r="F239" s="62"/>
      <c r="G239" s="62"/>
      <c r="H239" s="3"/>
      <c r="I239" s="3"/>
      <c r="J239" s="3"/>
    </row>
    <row r="240" spans="4:10" ht="9.75">
      <c r="D240" s="62"/>
      <c r="E240" s="62"/>
      <c r="F240" s="62"/>
      <c r="G240" s="62"/>
      <c r="H240" s="3"/>
      <c r="I240" s="3"/>
      <c r="J240" s="3"/>
    </row>
    <row r="241" spans="4:10" ht="9.75">
      <c r="D241" s="62"/>
      <c r="E241" s="62"/>
      <c r="F241" s="62"/>
      <c r="G241" s="62"/>
      <c r="H241" s="3"/>
      <c r="I241" s="3"/>
      <c r="J241" s="3"/>
    </row>
    <row r="242" spans="4:10" ht="9.75">
      <c r="D242" s="62"/>
      <c r="E242" s="62"/>
      <c r="F242" s="62"/>
      <c r="G242" s="62"/>
      <c r="H242" s="3"/>
      <c r="I242" s="3"/>
      <c r="J242" s="3"/>
    </row>
    <row r="243" spans="4:10" ht="9.75">
      <c r="D243" s="62"/>
      <c r="E243" s="62"/>
      <c r="F243" s="62"/>
      <c r="G243" s="62"/>
      <c r="H243" s="3"/>
      <c r="I243" s="3"/>
      <c r="J243" s="3"/>
    </row>
    <row r="244" spans="4:10" ht="9.75">
      <c r="D244" s="62"/>
      <c r="E244" s="62"/>
      <c r="F244" s="62"/>
      <c r="G244" s="62"/>
      <c r="H244" s="3"/>
      <c r="I244" s="3"/>
      <c r="J244" s="3"/>
    </row>
    <row r="245" spans="4:10" ht="9.75">
      <c r="D245" s="62"/>
      <c r="E245" s="62"/>
      <c r="F245" s="62"/>
      <c r="G245" s="62"/>
      <c r="H245" s="3"/>
      <c r="I245" s="3"/>
      <c r="J245" s="3"/>
    </row>
    <row r="246" spans="4:10" ht="9.75">
      <c r="D246" s="62"/>
      <c r="E246" s="62"/>
      <c r="F246" s="62"/>
      <c r="G246" s="62"/>
      <c r="H246" s="3"/>
      <c r="I246" s="3"/>
      <c r="J246" s="3"/>
    </row>
    <row r="247" spans="4:10" ht="9.75">
      <c r="D247" s="62"/>
      <c r="E247" s="62"/>
      <c r="F247" s="62"/>
      <c r="G247" s="62"/>
      <c r="H247" s="3"/>
      <c r="I247" s="3"/>
      <c r="J247" s="3"/>
    </row>
    <row r="248" spans="4:10" ht="9.75">
      <c r="D248" s="62"/>
      <c r="E248" s="62"/>
      <c r="F248" s="62"/>
      <c r="G248" s="62"/>
      <c r="H248" s="3"/>
      <c r="I248" s="3"/>
      <c r="J248" s="3"/>
    </row>
    <row r="249" spans="4:10" ht="9.75">
      <c r="D249" s="62"/>
      <c r="E249" s="62"/>
      <c r="F249" s="62"/>
      <c r="G249" s="62"/>
      <c r="H249" s="3"/>
      <c r="I249" s="3"/>
      <c r="J249" s="3"/>
    </row>
    <row r="250" spans="4:10" ht="9.75">
      <c r="D250" s="62"/>
      <c r="E250" s="62"/>
      <c r="F250" s="62"/>
      <c r="G250" s="62"/>
      <c r="H250" s="3"/>
      <c r="I250" s="3"/>
      <c r="J250" s="3"/>
    </row>
    <row r="251" spans="4:10" ht="9.75">
      <c r="D251" s="62"/>
      <c r="E251" s="62"/>
      <c r="F251" s="62"/>
      <c r="G251" s="62"/>
      <c r="H251" s="3"/>
      <c r="I251" s="3"/>
      <c r="J251" s="3"/>
    </row>
    <row r="252" spans="4:10" ht="9.75">
      <c r="D252" s="62"/>
      <c r="E252" s="62"/>
      <c r="F252" s="62"/>
      <c r="G252" s="62"/>
      <c r="H252" s="3"/>
      <c r="I252" s="3"/>
      <c r="J252" s="3"/>
    </row>
    <row r="253" spans="4:10" ht="9.75">
      <c r="D253" s="62"/>
      <c r="E253" s="62"/>
      <c r="F253" s="62"/>
      <c r="G253" s="62"/>
      <c r="H253" s="3"/>
      <c r="I253" s="3"/>
      <c r="J253" s="3"/>
    </row>
    <row r="254" spans="4:10" ht="9.75">
      <c r="D254" s="62"/>
      <c r="E254" s="62"/>
      <c r="F254" s="62"/>
      <c r="G254" s="62"/>
      <c r="H254" s="3"/>
      <c r="I254" s="3"/>
      <c r="J254" s="3"/>
    </row>
    <row r="255" spans="4:10" ht="9.75">
      <c r="D255" s="62"/>
      <c r="E255" s="62"/>
      <c r="F255" s="62"/>
      <c r="G255" s="62"/>
      <c r="H255" s="3"/>
      <c r="I255" s="3"/>
      <c r="J255" s="3"/>
    </row>
    <row r="256" spans="4:10" ht="9.75">
      <c r="D256" s="62"/>
      <c r="E256" s="62"/>
      <c r="F256" s="62"/>
      <c r="G256" s="62"/>
      <c r="H256" s="3"/>
      <c r="I256" s="3"/>
      <c r="J256" s="3"/>
    </row>
    <row r="257" spans="4:10" ht="9.75">
      <c r="D257" s="62"/>
      <c r="E257" s="62"/>
      <c r="F257" s="62"/>
      <c r="G257" s="62"/>
      <c r="H257" s="3"/>
      <c r="I257" s="3"/>
      <c r="J257" s="3"/>
    </row>
    <row r="258" spans="4:10" ht="9.75">
      <c r="D258" s="62"/>
      <c r="E258" s="62"/>
      <c r="F258" s="62"/>
      <c r="G258" s="62"/>
      <c r="H258" s="3"/>
      <c r="I258" s="3"/>
      <c r="J258" s="3"/>
    </row>
    <row r="259" spans="4:10" ht="9.75">
      <c r="D259" s="62"/>
      <c r="E259" s="62"/>
      <c r="F259" s="62"/>
      <c r="G259" s="62"/>
      <c r="H259" s="3"/>
      <c r="I259" s="3"/>
      <c r="J259" s="3"/>
    </row>
    <row r="260" spans="4:10" ht="9.75">
      <c r="D260" s="62"/>
      <c r="E260" s="62"/>
      <c r="F260" s="62"/>
      <c r="G260" s="62"/>
      <c r="H260" s="3"/>
      <c r="I260" s="3"/>
      <c r="J260" s="3"/>
    </row>
    <row r="261" spans="4:10" ht="9.75">
      <c r="D261" s="62"/>
      <c r="E261" s="62"/>
      <c r="F261" s="62"/>
      <c r="G261" s="62"/>
      <c r="H261" s="3"/>
      <c r="I261" s="3"/>
      <c r="J261" s="3"/>
    </row>
    <row r="262" spans="4:10" ht="9.75">
      <c r="D262" s="62"/>
      <c r="E262" s="62"/>
      <c r="F262" s="62"/>
      <c r="G262" s="62"/>
      <c r="H262" s="3"/>
      <c r="I262" s="3"/>
      <c r="J262" s="3"/>
    </row>
    <row r="263" spans="4:10" ht="9.75">
      <c r="D263" s="62"/>
      <c r="E263" s="62"/>
      <c r="F263" s="62"/>
      <c r="G263" s="62"/>
      <c r="H263" s="3"/>
      <c r="I263" s="3"/>
      <c r="J263" s="3"/>
    </row>
    <row r="264" spans="4:10" ht="9.75">
      <c r="D264" s="62"/>
      <c r="E264" s="62"/>
      <c r="F264" s="62"/>
      <c r="G264" s="62"/>
      <c r="H264" s="3"/>
      <c r="I264" s="3"/>
      <c r="J264" s="3"/>
    </row>
    <row r="265" spans="4:10" ht="9.75">
      <c r="D265" s="62"/>
      <c r="E265" s="62"/>
      <c r="F265" s="62"/>
      <c r="G265" s="62"/>
      <c r="H265" s="3"/>
      <c r="I265" s="3"/>
      <c r="J265" s="3"/>
    </row>
    <row r="266" spans="4:10" ht="9.75">
      <c r="D266" s="62"/>
      <c r="E266" s="62"/>
      <c r="F266" s="62"/>
      <c r="G266" s="62"/>
      <c r="H266" s="3"/>
      <c r="I266" s="3"/>
      <c r="J266" s="3"/>
    </row>
    <row r="267" spans="4:10" ht="9.75">
      <c r="D267" s="62"/>
      <c r="E267" s="62"/>
      <c r="F267" s="62"/>
      <c r="G267" s="62"/>
      <c r="H267" s="3"/>
      <c r="I267" s="3"/>
      <c r="J267" s="3"/>
    </row>
    <row r="268" spans="4:10" ht="9.75">
      <c r="D268" s="62"/>
      <c r="E268" s="62"/>
      <c r="F268" s="62"/>
      <c r="G268" s="62"/>
      <c r="H268" s="3"/>
      <c r="I268" s="3"/>
      <c r="J268" s="3"/>
    </row>
    <row r="269" spans="4:10" ht="9.75">
      <c r="D269" s="62"/>
      <c r="E269" s="62"/>
      <c r="F269" s="62"/>
      <c r="G269" s="62"/>
      <c r="H269" s="3"/>
      <c r="I269" s="3"/>
      <c r="J269" s="3"/>
    </row>
    <row r="270" spans="4:10" ht="9.75">
      <c r="D270" s="62"/>
      <c r="E270" s="62"/>
      <c r="F270" s="62"/>
      <c r="G270" s="62"/>
      <c r="H270" s="3"/>
      <c r="I270" s="3"/>
      <c r="J270" s="3"/>
    </row>
    <row r="271" spans="4:10" ht="9.75">
      <c r="D271" s="62"/>
      <c r="E271" s="62"/>
      <c r="F271" s="62"/>
      <c r="G271" s="62"/>
      <c r="H271" s="3"/>
      <c r="I271" s="3"/>
      <c r="J271" s="3"/>
    </row>
    <row r="272" spans="4:10" ht="9.75">
      <c r="D272" s="62"/>
      <c r="E272" s="62"/>
      <c r="F272" s="62"/>
      <c r="G272" s="62"/>
      <c r="H272" s="3"/>
      <c r="I272" s="3"/>
      <c r="J272" s="3"/>
    </row>
    <row r="273" spans="4:10" ht="9.75">
      <c r="D273" s="62"/>
      <c r="E273" s="62"/>
      <c r="F273" s="62"/>
      <c r="G273" s="62"/>
      <c r="H273" s="3"/>
      <c r="I273" s="3"/>
      <c r="J273" s="3"/>
    </row>
    <row r="274" spans="4:10" ht="9.75">
      <c r="D274" s="62"/>
      <c r="E274" s="62"/>
      <c r="F274" s="62"/>
      <c r="G274" s="62"/>
      <c r="H274" s="3"/>
      <c r="I274" s="3"/>
      <c r="J274" s="3"/>
    </row>
    <row r="275" spans="4:10" ht="9.75">
      <c r="D275" s="62"/>
      <c r="E275" s="62"/>
      <c r="F275" s="62"/>
      <c r="G275" s="62"/>
      <c r="H275" s="3"/>
      <c r="I275" s="3"/>
      <c r="J275" s="3"/>
    </row>
    <row r="276" spans="4:10" ht="9.75">
      <c r="D276" s="62"/>
      <c r="E276" s="62"/>
      <c r="F276" s="62"/>
      <c r="G276" s="62"/>
      <c r="H276" s="3"/>
      <c r="I276" s="3"/>
      <c r="J276" s="3"/>
    </row>
    <row r="277" spans="4:10" ht="9.75">
      <c r="D277" s="62"/>
      <c r="E277" s="62"/>
      <c r="F277" s="62"/>
      <c r="G277" s="62"/>
      <c r="H277" s="3"/>
      <c r="I277" s="3"/>
      <c r="J277" s="3"/>
    </row>
    <row r="278" spans="4:10" ht="9.75">
      <c r="D278" s="62"/>
      <c r="E278" s="62"/>
      <c r="F278" s="62"/>
      <c r="G278" s="62"/>
      <c r="H278" s="3"/>
      <c r="I278" s="3"/>
      <c r="J278" s="3"/>
    </row>
    <row r="279" spans="4:10" ht="9.75">
      <c r="D279" s="62"/>
      <c r="E279" s="62"/>
      <c r="F279" s="62"/>
      <c r="G279" s="62"/>
      <c r="H279" s="3"/>
      <c r="I279" s="3"/>
      <c r="J279" s="3"/>
    </row>
    <row r="280" spans="4:10" ht="9.75">
      <c r="D280" s="62"/>
      <c r="E280" s="62"/>
      <c r="F280" s="62"/>
      <c r="G280" s="62"/>
      <c r="H280" s="3"/>
      <c r="I280" s="3"/>
      <c r="J280" s="3"/>
    </row>
    <row r="281" spans="4:10" ht="9.75">
      <c r="D281" s="62"/>
      <c r="E281" s="62"/>
      <c r="F281" s="62"/>
      <c r="G281" s="62"/>
      <c r="H281" s="3"/>
      <c r="I281" s="3"/>
      <c r="J281" s="3"/>
    </row>
    <row r="282" spans="4:10" ht="9.75">
      <c r="D282" s="62"/>
      <c r="E282" s="62"/>
      <c r="F282" s="62"/>
      <c r="G282" s="62"/>
      <c r="H282" s="3"/>
      <c r="I282" s="3"/>
      <c r="J282" s="3"/>
    </row>
    <row r="283" spans="4:10" ht="9.75">
      <c r="D283" s="62"/>
      <c r="E283" s="62"/>
      <c r="F283" s="62"/>
      <c r="G283" s="62"/>
      <c r="H283" s="3"/>
      <c r="I283" s="3"/>
      <c r="J283" s="3"/>
    </row>
    <row r="284" spans="4:10" ht="9.75">
      <c r="D284" s="62"/>
      <c r="E284" s="62"/>
      <c r="F284" s="62"/>
      <c r="G284" s="62"/>
      <c r="H284" s="3"/>
      <c r="I284" s="3"/>
      <c r="J284" s="3"/>
    </row>
    <row r="285" spans="4:10" ht="9.75">
      <c r="D285" s="62"/>
      <c r="E285" s="62"/>
      <c r="F285" s="62"/>
      <c r="G285" s="62"/>
      <c r="H285" s="3"/>
      <c r="I285" s="3"/>
      <c r="J285" s="3"/>
    </row>
    <row r="286" spans="4:10" ht="9.75">
      <c r="D286" s="62"/>
      <c r="E286" s="62"/>
      <c r="F286" s="62"/>
      <c r="G286" s="62"/>
      <c r="H286" s="3"/>
      <c r="I286" s="3"/>
      <c r="J286" s="3"/>
    </row>
    <row r="287" spans="4:10" ht="9.75">
      <c r="D287" s="62"/>
      <c r="E287" s="62"/>
      <c r="F287" s="62"/>
      <c r="G287" s="62"/>
      <c r="H287" s="3"/>
      <c r="I287" s="3"/>
      <c r="J287" s="3"/>
    </row>
    <row r="288" spans="4:10" ht="9.75">
      <c r="D288" s="62"/>
      <c r="E288" s="62"/>
      <c r="F288" s="62"/>
      <c r="G288" s="62"/>
      <c r="H288" s="3"/>
      <c r="I288" s="3"/>
      <c r="J288" s="3"/>
    </row>
    <row r="289" spans="4:10" ht="9.75">
      <c r="D289" s="62"/>
      <c r="E289" s="62"/>
      <c r="F289" s="62"/>
      <c r="G289" s="62"/>
      <c r="H289" s="3"/>
      <c r="I289" s="3"/>
      <c r="J289" s="3"/>
    </row>
    <row r="290" spans="4:10" ht="9.75">
      <c r="D290" s="62"/>
      <c r="E290" s="62"/>
      <c r="F290" s="62"/>
      <c r="G290" s="62"/>
      <c r="H290" s="3"/>
      <c r="I290" s="3"/>
      <c r="J290" s="3"/>
    </row>
    <row r="291" spans="4:10" ht="9.75">
      <c r="D291" s="62"/>
      <c r="E291" s="62"/>
      <c r="F291" s="62"/>
      <c r="G291" s="62"/>
      <c r="H291" s="3"/>
      <c r="I291" s="3"/>
      <c r="J291" s="3"/>
    </row>
    <row r="292" spans="4:10" ht="9.75">
      <c r="D292" s="62"/>
      <c r="E292" s="62"/>
      <c r="F292" s="62"/>
      <c r="G292" s="62"/>
      <c r="H292" s="3"/>
      <c r="I292" s="3"/>
      <c r="J292" s="3"/>
    </row>
    <row r="293" spans="4:10" ht="9.75">
      <c r="D293" s="62"/>
      <c r="E293" s="62"/>
      <c r="F293" s="62"/>
      <c r="G293" s="62"/>
      <c r="H293" s="3"/>
      <c r="I293" s="3"/>
      <c r="J293" s="3"/>
    </row>
    <row r="294" spans="4:10" ht="9.75">
      <c r="D294" s="62"/>
      <c r="E294" s="62"/>
      <c r="F294" s="62"/>
      <c r="G294" s="62"/>
      <c r="H294" s="3"/>
      <c r="I294" s="3"/>
      <c r="J294" s="3"/>
    </row>
    <row r="295" spans="4:10" ht="9.75">
      <c r="D295" s="62"/>
      <c r="E295" s="62"/>
      <c r="F295" s="62"/>
      <c r="G295" s="62"/>
      <c r="H295" s="3"/>
      <c r="I295" s="3"/>
      <c r="J295" s="3"/>
    </row>
    <row r="296" spans="4:10" ht="9.75">
      <c r="D296" s="62"/>
      <c r="E296" s="62"/>
      <c r="F296" s="62"/>
      <c r="G296" s="62"/>
      <c r="H296" s="3"/>
      <c r="I296" s="3"/>
      <c r="J296" s="3"/>
    </row>
    <row r="297" spans="4:10" ht="9.75">
      <c r="D297" s="62"/>
      <c r="E297" s="62"/>
      <c r="F297" s="62"/>
      <c r="G297" s="62"/>
      <c r="H297" s="3"/>
      <c r="I297" s="3"/>
      <c r="J297" s="3"/>
    </row>
    <row r="298" spans="4:10" ht="9.75">
      <c r="D298" s="62"/>
      <c r="E298" s="62"/>
      <c r="F298" s="62"/>
      <c r="G298" s="62"/>
      <c r="H298" s="3"/>
      <c r="I298" s="3"/>
      <c r="J298" s="3"/>
    </row>
    <row r="299" spans="4:10" ht="9.75">
      <c r="D299" s="62"/>
      <c r="E299" s="62"/>
      <c r="F299" s="62"/>
      <c r="G299" s="62"/>
      <c r="H299" s="3"/>
      <c r="I299" s="3"/>
      <c r="J299" s="3"/>
    </row>
    <row r="300" spans="4:10" ht="9.75">
      <c r="D300" s="62"/>
      <c r="E300" s="62"/>
      <c r="F300" s="62"/>
      <c r="G300" s="62"/>
      <c r="H300" s="3"/>
      <c r="I300" s="3"/>
      <c r="J300" s="3"/>
    </row>
    <row r="301" spans="4:10" ht="9.75">
      <c r="D301" s="62"/>
      <c r="E301" s="62"/>
      <c r="F301" s="62"/>
      <c r="G301" s="62"/>
      <c r="H301" s="3"/>
      <c r="I301" s="3"/>
      <c r="J301" s="3"/>
    </row>
    <row r="302" spans="4:10" ht="9.75">
      <c r="D302" s="62"/>
      <c r="E302" s="62"/>
      <c r="F302" s="62"/>
      <c r="G302" s="62"/>
      <c r="H302" s="3"/>
      <c r="I302" s="3"/>
      <c r="J302" s="3"/>
    </row>
    <row r="303" spans="4:10" ht="9.75">
      <c r="D303" s="62"/>
      <c r="E303" s="62"/>
      <c r="F303" s="62"/>
      <c r="G303" s="62"/>
      <c r="H303" s="3"/>
      <c r="I303" s="3"/>
      <c r="J303" s="3"/>
    </row>
    <row r="304" spans="4:10" ht="9.75">
      <c r="D304" s="62"/>
      <c r="E304" s="62"/>
      <c r="F304" s="62"/>
      <c r="G304" s="62"/>
      <c r="H304" s="3"/>
      <c r="I304" s="3"/>
      <c r="J304" s="3"/>
    </row>
    <row r="305" spans="4:10" ht="9.75">
      <c r="D305" s="62"/>
      <c r="E305" s="62"/>
      <c r="F305" s="62"/>
      <c r="G305" s="62"/>
      <c r="H305" s="3"/>
      <c r="I305" s="3"/>
      <c r="J305" s="3"/>
    </row>
    <row r="306" spans="4:10" ht="9.75">
      <c r="D306" s="62"/>
      <c r="E306" s="62"/>
      <c r="F306" s="62"/>
      <c r="G306" s="62"/>
      <c r="H306" s="3"/>
      <c r="I306" s="3"/>
      <c r="J306" s="3"/>
    </row>
    <row r="307" spans="4:10" ht="9.75">
      <c r="D307" s="62"/>
      <c r="E307" s="62"/>
      <c r="F307" s="62"/>
      <c r="G307" s="62"/>
      <c r="H307" s="3"/>
      <c r="I307" s="3"/>
      <c r="J307" s="3"/>
    </row>
    <row r="308" spans="4:10" ht="9.75">
      <c r="D308" s="62"/>
      <c r="E308" s="62"/>
      <c r="F308" s="62"/>
      <c r="G308" s="62"/>
      <c r="H308" s="3"/>
      <c r="I308" s="3"/>
      <c r="J308" s="3"/>
    </row>
    <row r="309" spans="4:10" ht="9.75">
      <c r="D309" s="62"/>
      <c r="E309" s="62"/>
      <c r="F309" s="62"/>
      <c r="G309" s="62"/>
      <c r="H309" s="3"/>
      <c r="I309" s="3"/>
      <c r="J309" s="3"/>
    </row>
    <row r="310" spans="4:10" ht="9.75">
      <c r="D310" s="62"/>
      <c r="E310" s="62"/>
      <c r="F310" s="62"/>
      <c r="G310" s="62"/>
      <c r="H310" s="3"/>
      <c r="I310" s="3"/>
      <c r="J310" s="3"/>
    </row>
    <row r="311" spans="4:10" ht="9.75">
      <c r="D311" s="62"/>
      <c r="E311" s="62"/>
      <c r="F311" s="62"/>
      <c r="G311" s="62"/>
      <c r="H311" s="3"/>
      <c r="I311" s="3"/>
      <c r="J311" s="3"/>
    </row>
    <row r="312" spans="4:10" ht="9.75">
      <c r="D312" s="62"/>
      <c r="E312" s="62"/>
      <c r="F312" s="62"/>
      <c r="G312" s="62"/>
      <c r="H312" s="3"/>
      <c r="I312" s="3"/>
      <c r="J312" s="3"/>
    </row>
    <row r="313" spans="4:10" ht="9.75">
      <c r="D313" s="62"/>
      <c r="E313" s="62"/>
      <c r="F313" s="62"/>
      <c r="G313" s="62"/>
      <c r="H313" s="3"/>
      <c r="I313" s="3"/>
      <c r="J313" s="3"/>
    </row>
    <row r="314" spans="4:10" ht="9.75">
      <c r="D314" s="62"/>
      <c r="E314" s="62"/>
      <c r="F314" s="62"/>
      <c r="G314" s="62"/>
      <c r="H314" s="3"/>
      <c r="I314" s="3"/>
      <c r="J314" s="3"/>
    </row>
    <row r="315" spans="4:10" ht="9.75">
      <c r="D315" s="62"/>
      <c r="E315" s="62"/>
      <c r="F315" s="62"/>
      <c r="G315" s="62"/>
      <c r="H315" s="3"/>
      <c r="I315" s="3"/>
      <c r="J315" s="3"/>
    </row>
    <row r="316" spans="4:10" ht="9.75">
      <c r="D316" s="62"/>
      <c r="E316" s="62"/>
      <c r="F316" s="62"/>
      <c r="G316" s="62"/>
      <c r="H316" s="3"/>
      <c r="I316" s="3"/>
      <c r="J316" s="3"/>
    </row>
    <row r="317" spans="8:10" ht="9.75">
      <c r="H317" s="3"/>
      <c r="I317" s="3"/>
      <c r="J317" s="3"/>
    </row>
    <row r="318" spans="8:10" ht="9.75">
      <c r="H318" s="3"/>
      <c r="I318" s="3"/>
      <c r="J318" s="3"/>
    </row>
    <row r="319" spans="8:10" ht="9.75">
      <c r="H319" s="3"/>
      <c r="I319" s="3"/>
      <c r="J319" s="3"/>
    </row>
    <row r="320" spans="8:10" ht="9.75">
      <c r="H320" s="3"/>
      <c r="I320" s="3"/>
      <c r="J320" s="3"/>
    </row>
    <row r="321" spans="8:10" ht="9.75">
      <c r="H321" s="3"/>
      <c r="I321" s="3"/>
      <c r="J321" s="3"/>
    </row>
    <row r="322" spans="8:10" ht="9.75">
      <c r="H322" s="3"/>
      <c r="I322" s="3"/>
      <c r="J322" s="3"/>
    </row>
    <row r="323" spans="8:10" ht="9.75">
      <c r="H323" s="3"/>
      <c r="I323" s="3"/>
      <c r="J323" s="3"/>
    </row>
    <row r="324" spans="8:10" ht="9.75">
      <c r="H324" s="3"/>
      <c r="I324" s="3"/>
      <c r="J324" s="3"/>
    </row>
    <row r="325" spans="8:10" ht="9.75">
      <c r="H325" s="3"/>
      <c r="I325" s="3"/>
      <c r="J325" s="3"/>
    </row>
    <row r="326" spans="8:10" ht="9.75">
      <c r="H326" s="3"/>
      <c r="I326" s="3"/>
      <c r="J326" s="3"/>
    </row>
    <row r="327" spans="8:10" ht="9.75">
      <c r="H327" s="3"/>
      <c r="I327" s="3"/>
      <c r="J327" s="3"/>
    </row>
    <row r="328" spans="8:10" ht="9.75">
      <c r="H328" s="3"/>
      <c r="I328" s="3"/>
      <c r="J328" s="3"/>
    </row>
    <row r="329" spans="8:10" ht="9.75">
      <c r="H329" s="3"/>
      <c r="I329" s="3"/>
      <c r="J329" s="3"/>
    </row>
    <row r="330" spans="8:10" ht="9.75">
      <c r="H330" s="3"/>
      <c r="I330" s="3"/>
      <c r="J330" s="3"/>
    </row>
    <row r="331" spans="8:10" ht="9.75">
      <c r="H331" s="3"/>
      <c r="I331" s="3"/>
      <c r="J331" s="3"/>
    </row>
    <row r="332" spans="8:10" ht="9.75">
      <c r="H332" s="3"/>
      <c r="I332" s="3"/>
      <c r="J332" s="3"/>
    </row>
    <row r="333" spans="8:10" ht="9.75">
      <c r="H333" s="3"/>
      <c r="I333" s="3"/>
      <c r="J333" s="3"/>
    </row>
    <row r="334" spans="8:10" ht="9.75">
      <c r="H334" s="3"/>
      <c r="I334" s="3"/>
      <c r="J334" s="3"/>
    </row>
    <row r="335" spans="8:10" ht="9.75">
      <c r="H335" s="3"/>
      <c r="I335" s="3"/>
      <c r="J335" s="3"/>
    </row>
    <row r="336" spans="8:10" ht="9.75">
      <c r="H336" s="3"/>
      <c r="I336" s="3"/>
      <c r="J336" s="3"/>
    </row>
    <row r="337" spans="8:10" ht="9.75">
      <c r="H337" s="3"/>
      <c r="I337" s="3"/>
      <c r="J337" s="3"/>
    </row>
    <row r="338" spans="8:10" ht="9.75">
      <c r="H338" s="3"/>
      <c r="I338" s="3"/>
      <c r="J338" s="3"/>
    </row>
    <row r="339" spans="8:10" ht="9.75">
      <c r="H339" s="3"/>
      <c r="I339" s="3"/>
      <c r="J339" s="3"/>
    </row>
    <row r="340" spans="8:10" ht="9.75">
      <c r="H340" s="3"/>
      <c r="I340" s="3"/>
      <c r="J340" s="3"/>
    </row>
    <row r="341" spans="8:10" ht="9.75">
      <c r="H341" s="3"/>
      <c r="I341" s="3"/>
      <c r="J341" s="3"/>
    </row>
    <row r="342" spans="8:10" ht="9.75">
      <c r="H342" s="3"/>
      <c r="I342" s="3"/>
      <c r="J342" s="3"/>
    </row>
    <row r="343" spans="8:10" ht="9.75">
      <c r="H343" s="3"/>
      <c r="I343" s="3"/>
      <c r="J343" s="3"/>
    </row>
    <row r="344" spans="8:10" ht="9.75">
      <c r="H344" s="3"/>
      <c r="I344" s="3"/>
      <c r="J344" s="3"/>
    </row>
    <row r="345" spans="8:10" ht="9.75">
      <c r="H345" s="3"/>
      <c r="I345" s="3"/>
      <c r="J345" s="3"/>
    </row>
    <row r="346" spans="8:10" ht="9.75">
      <c r="H346" s="3"/>
      <c r="I346" s="3"/>
      <c r="J346" s="3"/>
    </row>
    <row r="347" spans="8:10" ht="9.75">
      <c r="H347" s="3"/>
      <c r="I347" s="3"/>
      <c r="J347" s="3"/>
    </row>
    <row r="348" spans="8:10" ht="9.75">
      <c r="H348" s="3"/>
      <c r="I348" s="3"/>
      <c r="J348" s="3"/>
    </row>
    <row r="349" spans="8:10" ht="9.75">
      <c r="H349" s="3"/>
      <c r="I349" s="3"/>
      <c r="J349" s="3"/>
    </row>
    <row r="350" spans="8:10" ht="9.75">
      <c r="H350" s="3"/>
      <c r="I350" s="3"/>
      <c r="J350" s="3"/>
    </row>
    <row r="351" spans="8:10" ht="9.75">
      <c r="H351" s="3"/>
      <c r="I351" s="3"/>
      <c r="J351" s="3"/>
    </row>
    <row r="352" spans="8:10" ht="9.75">
      <c r="H352" s="3"/>
      <c r="I352" s="3"/>
      <c r="J352" s="3"/>
    </row>
    <row r="353" spans="8:10" ht="9.75">
      <c r="H353" s="3"/>
      <c r="I353" s="3"/>
      <c r="J353" s="3"/>
    </row>
    <row r="354" spans="8:10" ht="9.75">
      <c r="H354" s="3"/>
      <c r="I354" s="3"/>
      <c r="J354" s="3"/>
    </row>
    <row r="355" spans="8:10" ht="9.75">
      <c r="H355" s="3"/>
      <c r="I355" s="3"/>
      <c r="J355" s="3"/>
    </row>
    <row r="356" spans="8:10" ht="9.75">
      <c r="H356" s="3"/>
      <c r="I356" s="3"/>
      <c r="J356" s="3"/>
    </row>
    <row r="357" spans="8:10" ht="9.75">
      <c r="H357" s="3"/>
      <c r="I357" s="3"/>
      <c r="J357" s="3"/>
    </row>
    <row r="358" spans="8:10" ht="9.75">
      <c r="H358" s="3"/>
      <c r="I358" s="3"/>
      <c r="J358" s="3"/>
    </row>
    <row r="359" spans="8:10" ht="9.75">
      <c r="H359" s="3"/>
      <c r="I359" s="3"/>
      <c r="J359" s="3"/>
    </row>
    <row r="360" spans="8:10" ht="9.75">
      <c r="H360" s="3"/>
      <c r="I360" s="3"/>
      <c r="J360" s="3"/>
    </row>
    <row r="361" spans="8:10" ht="9.75">
      <c r="H361" s="3"/>
      <c r="I361" s="3"/>
      <c r="J361" s="3"/>
    </row>
    <row r="362" spans="8:10" ht="9.75">
      <c r="H362" s="3"/>
      <c r="I362" s="3"/>
      <c r="J362" s="3"/>
    </row>
    <row r="363" spans="8:10" ht="9.75">
      <c r="H363" s="3"/>
      <c r="I363" s="3"/>
      <c r="J363" s="3"/>
    </row>
    <row r="364" spans="8:10" ht="9.75">
      <c r="H364" s="3"/>
      <c r="I364" s="3"/>
      <c r="J364" s="3"/>
    </row>
    <row r="365" spans="8:10" ht="9.75">
      <c r="H365" s="3"/>
      <c r="I365" s="3"/>
      <c r="J365" s="3"/>
    </row>
    <row r="366" spans="8:10" ht="9.75">
      <c r="H366" s="3"/>
      <c r="I366" s="3"/>
      <c r="J366" s="3"/>
    </row>
    <row r="367" spans="8:10" ht="9.75">
      <c r="H367" s="3"/>
      <c r="I367" s="3"/>
      <c r="J367" s="3"/>
    </row>
    <row r="368" spans="8:10" ht="9.75">
      <c r="H368" s="3"/>
      <c r="I368" s="3"/>
      <c r="J368" s="3"/>
    </row>
    <row r="369" spans="8:10" ht="9.75">
      <c r="H369" s="3"/>
      <c r="I369" s="3"/>
      <c r="J369" s="3"/>
    </row>
    <row r="370" spans="8:10" ht="9.75">
      <c r="H370" s="3"/>
      <c r="I370" s="3"/>
      <c r="J370" s="3"/>
    </row>
    <row r="371" spans="8:10" ht="9.75">
      <c r="H371" s="3"/>
      <c r="I371" s="3"/>
      <c r="J371" s="3"/>
    </row>
    <row r="372" spans="8:10" ht="9.75">
      <c r="H372" s="3"/>
      <c r="I372" s="3"/>
      <c r="J372" s="3"/>
    </row>
    <row r="373" spans="8:10" ht="9.75">
      <c r="H373" s="3"/>
      <c r="I373" s="3"/>
      <c r="J373" s="3"/>
    </row>
    <row r="374" spans="8:10" ht="9.75">
      <c r="H374" s="3"/>
      <c r="I374" s="3"/>
      <c r="J374" s="3"/>
    </row>
    <row r="375" spans="8:10" ht="9.75">
      <c r="H375" s="3"/>
      <c r="I375" s="3"/>
      <c r="J375" s="3"/>
    </row>
    <row r="376" spans="8:10" ht="9.75">
      <c r="H376" s="3"/>
      <c r="I376" s="3"/>
      <c r="J376" s="3"/>
    </row>
    <row r="377" spans="8:10" ht="9.75">
      <c r="H377" s="3"/>
      <c r="I377" s="3"/>
      <c r="J377" s="3"/>
    </row>
    <row r="378" spans="8:10" ht="9.75">
      <c r="H378" s="3"/>
      <c r="I378" s="3"/>
      <c r="J378" s="3"/>
    </row>
    <row r="379" spans="8:10" ht="9.75">
      <c r="H379" s="3"/>
      <c r="I379" s="3"/>
      <c r="J379" s="3"/>
    </row>
    <row r="380" spans="8:10" ht="9.75">
      <c r="H380" s="3"/>
      <c r="I380" s="3"/>
      <c r="J380" s="3"/>
    </row>
    <row r="381" spans="8:10" ht="9.75">
      <c r="H381" s="3"/>
      <c r="I381" s="3"/>
      <c r="J381" s="3"/>
    </row>
    <row r="382" spans="8:10" ht="9.75">
      <c r="H382" s="3"/>
      <c r="I382" s="3"/>
      <c r="J382" s="3"/>
    </row>
    <row r="383" spans="8:10" ht="9.75">
      <c r="H383" s="3"/>
      <c r="I383" s="3"/>
      <c r="J383" s="3"/>
    </row>
    <row r="384" spans="8:10" ht="9.75">
      <c r="H384" s="3"/>
      <c r="I384" s="3"/>
      <c r="J384" s="3"/>
    </row>
    <row r="385" spans="8:10" ht="9.75">
      <c r="H385" s="3"/>
      <c r="I385" s="3"/>
      <c r="J385" s="3"/>
    </row>
    <row r="386" spans="8:10" ht="9.75">
      <c r="H386" s="3"/>
      <c r="I386" s="3"/>
      <c r="J386" s="3"/>
    </row>
    <row r="387" spans="8:10" ht="9.75">
      <c r="H387" s="3"/>
      <c r="I387" s="3"/>
      <c r="J387" s="3"/>
    </row>
    <row r="388" spans="8:10" ht="9.75">
      <c r="H388" s="3"/>
      <c r="I388" s="3"/>
      <c r="J388" s="3"/>
    </row>
    <row r="389" spans="8:10" ht="9.75">
      <c r="H389" s="3"/>
      <c r="I389" s="3"/>
      <c r="J389" s="3"/>
    </row>
    <row r="390" spans="8:10" ht="9.75">
      <c r="H390" s="3"/>
      <c r="I390" s="3"/>
      <c r="J390" s="3"/>
    </row>
    <row r="391" spans="8:10" ht="9.75">
      <c r="H391" s="3"/>
      <c r="I391" s="3"/>
      <c r="J391" s="3"/>
    </row>
    <row r="392" spans="8:10" ht="9.75">
      <c r="H392" s="3"/>
      <c r="I392" s="3"/>
      <c r="J392" s="3"/>
    </row>
    <row r="393" spans="8:10" ht="9.75">
      <c r="H393" s="3"/>
      <c r="I393" s="3"/>
      <c r="J393" s="3"/>
    </row>
    <row r="394" spans="8:10" ht="9.75">
      <c r="H394" s="3"/>
      <c r="I394" s="3"/>
      <c r="J394" s="3"/>
    </row>
    <row r="395" spans="8:10" ht="9.75">
      <c r="H395" s="3"/>
      <c r="I395" s="3"/>
      <c r="J395" s="3"/>
    </row>
    <row r="396" spans="8:10" ht="9.75">
      <c r="H396" s="3"/>
      <c r="I396" s="3"/>
      <c r="J396" s="3"/>
    </row>
    <row r="397" spans="8:10" ht="9.75">
      <c r="H397" s="3"/>
      <c r="I397" s="3"/>
      <c r="J397" s="3"/>
    </row>
    <row r="398" spans="8:10" ht="9.75">
      <c r="H398" s="3"/>
      <c r="I398" s="3"/>
      <c r="J398" s="3"/>
    </row>
    <row r="399" spans="8:10" ht="9.75">
      <c r="H399" s="3"/>
      <c r="I399" s="3"/>
      <c r="J399" s="3"/>
    </row>
    <row r="400" spans="8:10" ht="9.75">
      <c r="H400" s="3"/>
      <c r="I400" s="3"/>
      <c r="J400" s="3"/>
    </row>
    <row r="401" spans="8:10" ht="9.75">
      <c r="H401" s="3"/>
      <c r="I401" s="3"/>
      <c r="J401" s="3"/>
    </row>
    <row r="402" spans="8:10" ht="9.75">
      <c r="H402" s="3"/>
      <c r="I402" s="3"/>
      <c r="J402" s="3"/>
    </row>
    <row r="403" spans="8:10" ht="9.75">
      <c r="H403" s="3"/>
      <c r="I403" s="3"/>
      <c r="J403" s="3"/>
    </row>
    <row r="404" spans="8:10" ht="9.75">
      <c r="H404" s="3"/>
      <c r="I404" s="3"/>
      <c r="J404" s="3"/>
    </row>
    <row r="405" spans="8:10" ht="9.75">
      <c r="H405" s="3"/>
      <c r="I405" s="3"/>
      <c r="J405" s="3"/>
    </row>
    <row r="406" spans="8:10" ht="9.75">
      <c r="H406" s="3"/>
      <c r="I406" s="3"/>
      <c r="J406" s="3"/>
    </row>
    <row r="407" spans="8:10" ht="9.75">
      <c r="H407" s="3"/>
      <c r="I407" s="3"/>
      <c r="J407" s="3"/>
    </row>
    <row r="408" spans="8:10" ht="9.75">
      <c r="H408" s="3"/>
      <c r="I408" s="3"/>
      <c r="J408" s="3"/>
    </row>
    <row r="409" spans="8:10" ht="9.75">
      <c r="H409" s="3"/>
      <c r="I409" s="3"/>
      <c r="J409" s="3"/>
    </row>
    <row r="410" spans="8:10" ht="9.75">
      <c r="H410" s="3"/>
      <c r="I410" s="3"/>
      <c r="J410" s="3"/>
    </row>
    <row r="411" spans="8:10" ht="9.75">
      <c r="H411" s="3"/>
      <c r="I411" s="3"/>
      <c r="J411" s="3"/>
    </row>
    <row r="412" spans="8:10" ht="9.75">
      <c r="H412" s="3"/>
      <c r="I412" s="3"/>
      <c r="J412" s="3"/>
    </row>
    <row r="413" spans="8:10" ht="9.75">
      <c r="H413" s="3"/>
      <c r="I413" s="3"/>
      <c r="J413" s="3"/>
    </row>
    <row r="414" spans="8:10" ht="409.5">
      <c r="H414" s="3"/>
      <c r="I414" s="3"/>
      <c r="J414" s="3"/>
    </row>
    <row r="415" spans="8:10" ht="9.75">
      <c r="H415" s="3"/>
      <c r="I415" s="3"/>
      <c r="J415" s="3"/>
    </row>
  </sheetData>
  <sheetProtection/>
  <printOptions/>
  <pageMargins left="0.75" right="0.75" top="1" bottom="1" header="0.5" footer="0.5"/>
  <pageSetup horizontalDpi="600" verticalDpi="600" orientation="landscape" scale="81" r:id="rId1"/>
  <rowBreaks count="3" manualBreakCount="3">
    <brk id="82" max="6" man="1"/>
    <brk id="108" max="6" man="1"/>
    <brk id="15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0"/>
  <sheetViews>
    <sheetView zoomScalePageLayoutView="0" workbookViewId="0" topLeftCell="A1">
      <pane xSplit="2" ySplit="5" topLeftCell="C6" activePane="bottomRight" state="frozen"/>
      <selection pane="topLeft" activeCell="A192" sqref="A192"/>
      <selection pane="topRight" activeCell="A192" sqref="A192"/>
      <selection pane="bottomLeft" activeCell="A192" sqref="A192"/>
      <selection pane="bottomRight" activeCell="A1" sqref="A1:A2"/>
    </sheetView>
  </sheetViews>
  <sheetFormatPr defaultColWidth="9.140625" defaultRowHeight="12.75"/>
  <cols>
    <col min="1" max="1" width="66.00390625" style="2" customWidth="1"/>
    <col min="2" max="2" width="9.8515625" style="52" customWidth="1"/>
    <col min="3" max="3" width="10.8515625" style="73" bestFit="1" customWidth="1"/>
    <col min="4" max="7" width="13.57421875" style="71" customWidth="1"/>
    <col min="8" max="8" width="13.57421875" style="3" customWidth="1"/>
    <col min="9" max="16384" width="9.140625" style="3" customWidth="1"/>
  </cols>
  <sheetData>
    <row r="1" ht="15">
      <c r="A1" s="268" t="s">
        <v>1118</v>
      </c>
    </row>
    <row r="2" ht="15">
      <c r="A2" s="268" t="s">
        <v>1116</v>
      </c>
    </row>
    <row r="4" spans="3:7" ht="9.75">
      <c r="C4" s="68">
        <v>1</v>
      </c>
      <c r="D4" s="53">
        <v>2</v>
      </c>
      <c r="E4" s="53" t="s">
        <v>290</v>
      </c>
      <c r="F4" s="53">
        <v>4</v>
      </c>
      <c r="G4" s="53" t="s">
        <v>291</v>
      </c>
    </row>
    <row r="5" spans="1:7" ht="21" thickBot="1">
      <c r="A5" s="15" t="s">
        <v>738</v>
      </c>
      <c r="B5" s="54" t="s">
        <v>265</v>
      </c>
      <c r="C5" s="54" t="s">
        <v>292</v>
      </c>
      <c r="D5" s="55" t="s">
        <v>2</v>
      </c>
      <c r="E5" s="55" t="s">
        <v>3</v>
      </c>
      <c r="F5" s="55" t="s">
        <v>4</v>
      </c>
      <c r="G5" s="55" t="s">
        <v>5</v>
      </c>
    </row>
    <row r="6" spans="1:7" ht="9.75">
      <c r="A6" s="17"/>
      <c r="B6" s="56"/>
      <c r="C6" s="57"/>
      <c r="D6" s="57"/>
      <c r="E6" s="57"/>
      <c r="F6" s="57"/>
      <c r="G6" s="57"/>
    </row>
    <row r="7" spans="1:7" ht="10.5" thickBot="1">
      <c r="A7" s="15" t="s">
        <v>6</v>
      </c>
      <c r="B7" s="56"/>
      <c r="C7" s="69"/>
      <c r="D7" s="58"/>
      <c r="E7" s="58"/>
      <c r="F7" s="58"/>
      <c r="G7" s="58"/>
    </row>
    <row r="8" spans="1:9" ht="9.75">
      <c r="A8" s="1" t="s">
        <v>293</v>
      </c>
      <c r="B8" s="59" t="str">
        <f>VLOOKUP(I8,'2018 SY O&amp;M Exp'!$A$8:$F$206,6,FALSE)</f>
        <v>500</v>
      </c>
      <c r="C8" s="60">
        <f>VLOOKUP(I8,'2018 SY O&amp;M Exp'!$A$8:$D$206,4,FALSE)</f>
        <v>5164888.419999998</v>
      </c>
      <c r="D8" s="60"/>
      <c r="E8" s="60">
        <f aca="true" t="shared" si="0" ref="E8:E25">+C8+D8</f>
        <v>5164888.419999998</v>
      </c>
      <c r="F8" s="60"/>
      <c r="G8" s="60">
        <f aca="true" t="shared" si="1" ref="G8:G25">+E8+F8</f>
        <v>5164888.419999998</v>
      </c>
      <c r="I8" s="3" t="str">
        <f>LEFT(A8,9)</f>
        <v>INC100000</v>
      </c>
    </row>
    <row r="9" spans="1:9" ht="9.75">
      <c r="A9" s="1" t="s">
        <v>8</v>
      </c>
      <c r="B9" s="59" t="str">
        <f>VLOOKUP(I9,'2018 SY O&amp;M Exp'!$A$8:$F$206,6,FALSE)</f>
        <v>501</v>
      </c>
      <c r="C9" s="60">
        <f>VLOOKUP(I9,'2018 SY O&amp;M Exp'!$A$8:$D$206,4,FALSE)</f>
        <v>365144534.71000004</v>
      </c>
      <c r="D9" s="60">
        <f>-C9</f>
        <v>-365144534.71000004</v>
      </c>
      <c r="E9" s="60">
        <f t="shared" si="0"/>
        <v>0</v>
      </c>
      <c r="F9" s="60"/>
      <c r="G9" s="60">
        <f t="shared" si="1"/>
        <v>0</v>
      </c>
      <c r="I9" s="3" t="str">
        <f aca="true" t="shared" si="2" ref="I9:I64">LEFT(A9,9)</f>
        <v>INC101110</v>
      </c>
    </row>
    <row r="10" spans="1:9" ht="9.75">
      <c r="A10" s="1" t="s">
        <v>9</v>
      </c>
      <c r="B10" s="59" t="str">
        <f>VLOOKUP(I10,'2018 SY O&amp;M Exp'!$A$8:$F$206,6,FALSE)</f>
        <v>501</v>
      </c>
      <c r="C10" s="60">
        <f>VLOOKUP(I10,'2018 SY O&amp;M Exp'!$A$8:$D$206,4,FALSE)</f>
        <v>9338423.959999997</v>
      </c>
      <c r="D10" s="60"/>
      <c r="E10" s="60">
        <f t="shared" si="0"/>
        <v>9338423.959999997</v>
      </c>
      <c r="F10" s="60">
        <f>-E10</f>
        <v>-9338423.959999997</v>
      </c>
      <c r="G10" s="60">
        <f t="shared" si="1"/>
        <v>0</v>
      </c>
      <c r="I10" s="3" t="str">
        <f t="shared" si="2"/>
        <v>INC101210</v>
      </c>
    </row>
    <row r="11" spans="1:9" ht="9.75">
      <c r="A11" s="1" t="s">
        <v>10</v>
      </c>
      <c r="B11" s="59" t="str">
        <f>VLOOKUP(I11,'2018 SY O&amp;M Exp'!$A$8:$F$206,6,FALSE)</f>
        <v>502</v>
      </c>
      <c r="C11" s="60">
        <f>VLOOKUP(I11,'2018 SY O&amp;M Exp'!$A$8:$D$206,4,FALSE)</f>
        <v>4947119.640000001</v>
      </c>
      <c r="D11" s="60"/>
      <c r="E11" s="60">
        <f t="shared" si="0"/>
        <v>4947119.640000001</v>
      </c>
      <c r="F11" s="60"/>
      <c r="G11" s="60">
        <f t="shared" si="1"/>
        <v>4947119.640000001</v>
      </c>
      <c r="I11" s="3" t="str">
        <f t="shared" si="2"/>
        <v>INC102000</v>
      </c>
    </row>
    <row r="12" spans="1:9" ht="9.75">
      <c r="A12" s="1" t="s">
        <v>11</v>
      </c>
      <c r="B12" s="59" t="str">
        <f>VLOOKUP(I12,'2018 SY O&amp;M Exp'!$A$8:$F$206,6,FALSE)</f>
        <v>505</v>
      </c>
      <c r="C12" s="60">
        <f>VLOOKUP(I12,'2018 SY O&amp;M Exp'!$A$8:$D$206,4,FALSE)</f>
        <v>1734288.8199999996</v>
      </c>
      <c r="D12" s="60"/>
      <c r="E12" s="60">
        <f t="shared" si="0"/>
        <v>1734288.8199999996</v>
      </c>
      <c r="F12" s="60"/>
      <c r="G12" s="60">
        <f t="shared" si="1"/>
        <v>1734288.8199999996</v>
      </c>
      <c r="I12" s="3" t="str">
        <f t="shared" si="2"/>
        <v>INC105000</v>
      </c>
    </row>
    <row r="13" spans="1:9" ht="9.75">
      <c r="A13" s="1" t="s">
        <v>294</v>
      </c>
      <c r="B13" s="59" t="str">
        <f>VLOOKUP(I13,'2018 SY O&amp;M Exp'!$A$8:$F$206,6,FALSE)</f>
        <v>506</v>
      </c>
      <c r="C13" s="60">
        <f>VLOOKUP(I13,'2018 SY O&amp;M Exp'!$A$8:$D$206,4,FALSE)</f>
        <v>16556614.29</v>
      </c>
      <c r="D13" s="60"/>
      <c r="E13" s="60">
        <f t="shared" si="0"/>
        <v>16556614.29</v>
      </c>
      <c r="F13" s="60"/>
      <c r="G13" s="60">
        <f t="shared" si="1"/>
        <v>16556614.29</v>
      </c>
      <c r="I13" s="3" t="str">
        <f t="shared" si="2"/>
        <v>INC106000</v>
      </c>
    </row>
    <row r="14" spans="1:9" ht="9.75">
      <c r="A14" s="1" t="s">
        <v>12</v>
      </c>
      <c r="B14" s="59" t="str">
        <f>VLOOKUP(I14,'2018 SY O&amp;M Exp'!$A$8:$F$206,6,FALSE)</f>
        <v>506</v>
      </c>
      <c r="C14" s="60">
        <f>VLOOKUP(I14,'2018 SY O&amp;M Exp'!$A$8:$D$206,4,FALSE)</f>
        <v>4358730.47</v>
      </c>
      <c r="D14" s="60">
        <f>-C14</f>
        <v>-4358730.47</v>
      </c>
      <c r="E14" s="60">
        <f t="shared" si="0"/>
        <v>0</v>
      </c>
      <c r="F14" s="60"/>
      <c r="G14" s="60">
        <f t="shared" si="1"/>
        <v>0</v>
      </c>
      <c r="I14" s="3" t="str">
        <f t="shared" si="2"/>
        <v>INC106100</v>
      </c>
    </row>
    <row r="15" spans="1:9" ht="9.75">
      <c r="A15" s="1" t="s">
        <v>13</v>
      </c>
      <c r="B15" s="59" t="str">
        <f>VLOOKUP(I15,'2018 SY O&amp;M Exp'!$A$8:$F$206,6,FALSE)</f>
        <v>506</v>
      </c>
      <c r="C15" s="60">
        <f>VLOOKUP(I15,'2018 SY O&amp;M Exp'!$A$8:$D$206,4,FALSE)</f>
        <v>477955.6999999999</v>
      </c>
      <c r="D15" s="60">
        <f>-C15</f>
        <v>-477955.6999999999</v>
      </c>
      <c r="E15" s="60">
        <f t="shared" si="0"/>
        <v>0</v>
      </c>
      <c r="F15" s="60"/>
      <c r="G15" s="60">
        <f t="shared" si="1"/>
        <v>0</v>
      </c>
      <c r="I15" s="3" t="str">
        <f t="shared" si="2"/>
        <v>INC106310</v>
      </c>
    </row>
    <row r="16" spans="1:9" ht="9.75">
      <c r="A16" s="83" t="s">
        <v>14</v>
      </c>
      <c r="B16" s="59" t="str">
        <f>VLOOKUP(I16,'2018 SY O&amp;M Exp'!$A$8:$F$206,6,FALSE)</f>
        <v>507</v>
      </c>
      <c r="C16" s="60">
        <f>VLOOKUP(I16,'2018 SY O&amp;M Exp'!$A$8:$D$206,4,FALSE)</f>
        <v>66795.90999999999</v>
      </c>
      <c r="D16" s="60"/>
      <c r="E16" s="60">
        <f t="shared" si="0"/>
        <v>66795.90999999999</v>
      </c>
      <c r="F16" s="60"/>
      <c r="G16" s="60">
        <f t="shared" si="1"/>
        <v>66795.90999999999</v>
      </c>
      <c r="I16" s="3" t="str">
        <f t="shared" si="2"/>
        <v>INC107000</v>
      </c>
    </row>
    <row r="17" spans="1:9" ht="9.75">
      <c r="A17" s="83" t="s">
        <v>295</v>
      </c>
      <c r="B17" s="59" t="str">
        <f>VLOOKUP(I17,'2018 SY O&amp;M Exp'!$A$8:$F$206,6,FALSE)</f>
        <v>511</v>
      </c>
      <c r="C17" s="60">
        <f>VLOOKUP(I17,'2018 SY O&amp;M Exp'!$A$8:$D$206,4,FALSE)</f>
        <v>5763026.080000002</v>
      </c>
      <c r="D17" s="60"/>
      <c r="E17" s="60">
        <f t="shared" si="0"/>
        <v>5763026.080000002</v>
      </c>
      <c r="F17" s="60"/>
      <c r="G17" s="60">
        <f t="shared" si="1"/>
        <v>5763026.080000002</v>
      </c>
      <c r="I17" s="3" t="str">
        <f t="shared" si="2"/>
        <v>INC110000</v>
      </c>
    </row>
    <row r="18" spans="1:9" ht="9.75">
      <c r="A18" s="83" t="s">
        <v>17</v>
      </c>
      <c r="B18" s="59" t="str">
        <f>VLOOKUP(I18,'2018 SY O&amp;M Exp'!$A$8:$F$206,6,FALSE)</f>
        <v>511</v>
      </c>
      <c r="C18" s="60">
        <f>VLOOKUP(I18,'2018 SY O&amp;M Exp'!$A$8:$D$206,4,FALSE)</f>
        <v>8056035.85</v>
      </c>
      <c r="D18" s="60"/>
      <c r="E18" s="60">
        <f t="shared" si="0"/>
        <v>8056035.85</v>
      </c>
      <c r="F18" s="60"/>
      <c r="G18" s="60">
        <f t="shared" si="1"/>
        <v>8056035.85</v>
      </c>
      <c r="I18" s="3" t="str">
        <f t="shared" si="2"/>
        <v>INC111000</v>
      </c>
    </row>
    <row r="19" spans="1:9" ht="9.75">
      <c r="A19" s="83" t="s">
        <v>18</v>
      </c>
      <c r="B19" s="59" t="str">
        <f>VLOOKUP(I19,'2018 SY O&amp;M Exp'!$A$8:$F$206,6,FALSE)</f>
        <v>511</v>
      </c>
      <c r="C19" s="60">
        <f>VLOOKUP(I19,'2018 SY O&amp;M Exp'!$A$8:$D$206,4,FALSE)</f>
        <v>1613457.96</v>
      </c>
      <c r="D19" s="60">
        <f>-C19</f>
        <v>-1613457.96</v>
      </c>
      <c r="E19" s="60">
        <f t="shared" si="0"/>
        <v>0</v>
      </c>
      <c r="F19" s="60"/>
      <c r="G19" s="60">
        <f t="shared" si="1"/>
        <v>0</v>
      </c>
      <c r="I19" s="3" t="str">
        <f t="shared" si="2"/>
        <v>INC111100</v>
      </c>
    </row>
    <row r="20" spans="1:9" ht="9.75">
      <c r="A20" s="83" t="s">
        <v>20</v>
      </c>
      <c r="B20" s="59" t="str">
        <f>VLOOKUP(I20,'2018 SY O&amp;M Exp'!$A$8:$F$206,6,FALSE)</f>
        <v>512</v>
      </c>
      <c r="C20" s="60">
        <f>VLOOKUP(I20,'2018 SY O&amp;M Exp'!$A$8:$D$206,4,FALSE)</f>
        <v>32594455.99000001</v>
      </c>
      <c r="D20" s="60"/>
      <c r="E20" s="60">
        <f t="shared" si="0"/>
        <v>32594455.99000001</v>
      </c>
      <c r="F20" s="60"/>
      <c r="G20" s="60">
        <f t="shared" si="1"/>
        <v>32594455.99000001</v>
      </c>
      <c r="I20" s="3" t="str">
        <f t="shared" si="2"/>
        <v>INC112000</v>
      </c>
    </row>
    <row r="21" spans="1:9" ht="9.75">
      <c r="A21" s="83" t="s">
        <v>21</v>
      </c>
      <c r="B21" s="59" t="str">
        <f>VLOOKUP(I21,'2018 SY O&amp;M Exp'!$A$8:$F$206,6,FALSE)</f>
        <v>512</v>
      </c>
      <c r="C21" s="60">
        <f>VLOOKUP(I21,'2018 SY O&amp;M Exp'!$A$8:$D$206,4,FALSE)</f>
        <v>8904201.059999999</v>
      </c>
      <c r="D21" s="60">
        <f>-C21</f>
        <v>-8904201.059999999</v>
      </c>
      <c r="E21" s="60">
        <f t="shared" si="0"/>
        <v>0</v>
      </c>
      <c r="F21" s="60"/>
      <c r="G21" s="60">
        <f t="shared" si="1"/>
        <v>0</v>
      </c>
      <c r="I21" s="3" t="str">
        <f t="shared" si="2"/>
        <v>INC112100</v>
      </c>
    </row>
    <row r="22" spans="1:9" ht="9.75">
      <c r="A22" s="83" t="s">
        <v>22</v>
      </c>
      <c r="B22" s="59" t="str">
        <f>VLOOKUP(I22,'2018 SY O&amp;M Exp'!$A$8:$F$206,6,FALSE)</f>
        <v>513</v>
      </c>
      <c r="C22" s="60">
        <f>VLOOKUP(I22,'2018 SY O&amp;M Exp'!$A$8:$D$206,4,FALSE)</f>
        <v>6246708.290000004</v>
      </c>
      <c r="D22" s="60"/>
      <c r="E22" s="60">
        <f t="shared" si="0"/>
        <v>6246708.290000004</v>
      </c>
      <c r="F22" s="60"/>
      <c r="G22" s="60">
        <f t="shared" si="1"/>
        <v>6246708.290000004</v>
      </c>
      <c r="I22" s="3" t="str">
        <f t="shared" si="2"/>
        <v>INC113000</v>
      </c>
    </row>
    <row r="23" spans="1:9" ht="9.75">
      <c r="A23" s="83" t="s">
        <v>296</v>
      </c>
      <c r="B23" s="59" t="str">
        <f>VLOOKUP(I23,'2018 SY O&amp;M Exp'!$A$8:$F$206,6,FALSE)</f>
        <v>513</v>
      </c>
      <c r="C23" s="60">
        <f>VLOOKUP(I23,'2018 SY O&amp;M Exp'!$A$8:$D$206,4,FALSE)</f>
        <v>5000</v>
      </c>
      <c r="D23" s="60">
        <f>-C23</f>
        <v>-5000</v>
      </c>
      <c r="E23" s="60">
        <f t="shared" si="0"/>
        <v>0</v>
      </c>
      <c r="F23" s="60"/>
      <c r="G23" s="60">
        <f t="shared" si="1"/>
        <v>0</v>
      </c>
      <c r="I23" s="3" t="str">
        <f t="shared" si="2"/>
        <v>INC113100</v>
      </c>
    </row>
    <row r="24" spans="1:9" ht="9.75">
      <c r="A24" s="83" t="s">
        <v>297</v>
      </c>
      <c r="B24" s="59" t="str">
        <f>VLOOKUP(I24,'2018 SY O&amp;M Exp'!$A$8:$F$206,6,FALSE)</f>
        <v>514</v>
      </c>
      <c r="C24" s="60">
        <f>VLOOKUP(I24,'2018 SY O&amp;M Exp'!$A$8:$D$206,4,FALSE)</f>
        <v>1890604.6199999996</v>
      </c>
      <c r="D24" s="60"/>
      <c r="E24" s="60">
        <f t="shared" si="0"/>
        <v>1890604.6199999996</v>
      </c>
      <c r="F24" s="60"/>
      <c r="G24" s="60">
        <f t="shared" si="1"/>
        <v>1890604.6199999996</v>
      </c>
      <c r="I24" s="3" t="str">
        <f t="shared" si="2"/>
        <v>INC114000</v>
      </c>
    </row>
    <row r="25" spans="1:9" ht="10.5" thickBot="1">
      <c r="A25" s="83" t="s">
        <v>24</v>
      </c>
      <c r="B25" s="59" t="str">
        <f>VLOOKUP(I25,'2018 SY O&amp;M Exp'!$A$8:$F$206,6,FALSE)</f>
        <v>514</v>
      </c>
      <c r="C25" s="60">
        <f>VLOOKUP(I25,'2018 SY O&amp;M Exp'!$A$8:$D$206,4,FALSE)</f>
        <v>70831.44</v>
      </c>
      <c r="D25" s="61">
        <f>-C25</f>
        <v>-70831.44</v>
      </c>
      <c r="E25" s="61">
        <f t="shared" si="0"/>
        <v>0</v>
      </c>
      <c r="F25" s="61"/>
      <c r="G25" s="61">
        <f t="shared" si="1"/>
        <v>0</v>
      </c>
      <c r="I25" s="3" t="str">
        <f t="shared" si="2"/>
        <v>INC114100</v>
      </c>
    </row>
    <row r="26" spans="1:9" ht="9.75">
      <c r="A26" s="83" t="s">
        <v>25</v>
      </c>
      <c r="B26" s="59"/>
      <c r="C26" s="60">
        <f>SUM(C8:C25)</f>
        <v>472933673.2100001</v>
      </c>
      <c r="D26" s="60">
        <f>SUM(D8:D25)</f>
        <v>-380574711.34000003</v>
      </c>
      <c r="E26" s="60">
        <f>SUM(E8:E25)</f>
        <v>92358961.87000002</v>
      </c>
      <c r="F26" s="60">
        <f>SUM(F8:F25)</f>
        <v>-9338423.959999997</v>
      </c>
      <c r="G26" s="70">
        <f>SUM(G8:G25)</f>
        <v>83020537.91000001</v>
      </c>
      <c r="I26" s="3" t="str">
        <f t="shared" si="2"/>
        <v>      SUB</v>
      </c>
    </row>
    <row r="27" spans="1:9" ht="9.75">
      <c r="A27" s="83"/>
      <c r="B27" s="59"/>
      <c r="C27" s="60"/>
      <c r="D27" s="60"/>
      <c r="E27" s="60"/>
      <c r="F27" s="60"/>
      <c r="G27" s="60"/>
      <c r="I27" s="3">
        <f t="shared" si="2"/>
      </c>
    </row>
    <row r="28" spans="1:9" ht="9.75">
      <c r="A28" s="83"/>
      <c r="B28" s="59"/>
      <c r="C28" s="60"/>
      <c r="D28" s="60"/>
      <c r="E28" s="60"/>
      <c r="F28" s="60"/>
      <c r="G28" s="60"/>
      <c r="I28" s="3">
        <f t="shared" si="2"/>
      </c>
    </row>
    <row r="29" spans="1:9" ht="10.5" thickBot="1">
      <c r="A29" s="84" t="s">
        <v>26</v>
      </c>
      <c r="B29" s="59"/>
      <c r="C29" s="60"/>
      <c r="D29" s="60"/>
      <c r="E29" s="60"/>
      <c r="F29" s="60"/>
      <c r="G29" s="60"/>
      <c r="I29" s="3" t="str">
        <f t="shared" si="2"/>
        <v>NUCLEAR P</v>
      </c>
    </row>
    <row r="30" spans="1:9" ht="9.75">
      <c r="A30" s="83" t="s">
        <v>298</v>
      </c>
      <c r="B30" s="59" t="str">
        <f>VLOOKUP(I30,'2018 SY O&amp;M Exp'!$A$8:$F$206,6,FALSE)</f>
        <v>517</v>
      </c>
      <c r="C30" s="60">
        <f>VLOOKUP(I30,'2018 SY O&amp;M Exp'!$A$8:$D$206,4,FALSE)</f>
        <v>81567988.36999999</v>
      </c>
      <c r="D30" s="60"/>
      <c r="E30" s="60">
        <f aca="true" t="shared" si="3" ref="E30:E50">+C30+D30</f>
        <v>81567988.36999999</v>
      </c>
      <c r="F30" s="60"/>
      <c r="G30" s="60">
        <f>+E30+F30</f>
        <v>81567988.36999999</v>
      </c>
      <c r="I30" s="3" t="str">
        <f t="shared" si="2"/>
        <v>INC117000</v>
      </c>
    </row>
    <row r="31" spans="1:9" ht="9.75">
      <c r="A31" s="83" t="s">
        <v>339</v>
      </c>
      <c r="B31" s="59" t="str">
        <f>VLOOKUP(I31,'2018 SY O&amp;M Exp'!$A$8:$F$206,6,FALSE)</f>
        <v>518</v>
      </c>
      <c r="C31" s="60">
        <f>VLOOKUP(I31,'2018 SY O&amp;M Exp'!$A$8:$D$206,4,FALSE)</f>
        <v>181948456.3937351</v>
      </c>
      <c r="D31" s="60">
        <f>-C31</f>
        <v>-181948456.3937351</v>
      </c>
      <c r="E31" s="60">
        <f t="shared" si="3"/>
        <v>0</v>
      </c>
      <c r="F31" s="60"/>
      <c r="G31" s="60">
        <f aca="true" t="shared" si="4" ref="G31:G50">+E31+F31</f>
        <v>0</v>
      </c>
      <c r="I31" s="3" t="str">
        <f t="shared" si="2"/>
        <v>INC118110</v>
      </c>
    </row>
    <row r="32" spans="1:9" ht="9.75">
      <c r="A32" s="85" t="s">
        <v>340</v>
      </c>
      <c r="B32" s="59" t="str">
        <f>VLOOKUP(I32,'2018 SY O&amp;M Exp'!$A$8:$F$206,6,FALSE)</f>
        <v>518</v>
      </c>
      <c r="C32" s="60">
        <f>VLOOKUP(I32,'2018 SY O&amp;M Exp'!$A$8:$D$206,4,FALSE)</f>
        <v>0</v>
      </c>
      <c r="D32" s="60">
        <f>-C32</f>
        <v>0</v>
      </c>
      <c r="E32" s="60">
        <f t="shared" si="3"/>
        <v>0</v>
      </c>
      <c r="F32" s="60"/>
      <c r="G32" s="60">
        <f t="shared" si="4"/>
        <v>0</v>
      </c>
      <c r="I32" s="3" t="str">
        <f t="shared" si="2"/>
        <v>INC118151</v>
      </c>
    </row>
    <row r="33" spans="1:9" ht="9.75">
      <c r="A33" s="85" t="s">
        <v>30</v>
      </c>
      <c r="B33" s="59" t="str">
        <f>VLOOKUP(I33,'2018 SY O&amp;M Exp'!$A$8:$F$206,6,FALSE)</f>
        <v>518</v>
      </c>
      <c r="C33" s="60">
        <f>VLOOKUP(I33,'2018 SY O&amp;M Exp'!$A$8:$D$206,4,FALSE)</f>
        <v>32358752.15</v>
      </c>
      <c r="D33" s="60">
        <f>-C33</f>
        <v>-32358752.15</v>
      </c>
      <c r="E33" s="60">
        <f t="shared" si="3"/>
        <v>0</v>
      </c>
      <c r="F33" s="60"/>
      <c r="G33" s="60">
        <f t="shared" si="4"/>
        <v>0</v>
      </c>
      <c r="I33" s="3" t="str">
        <f t="shared" si="2"/>
        <v>INC118160</v>
      </c>
    </row>
    <row r="34" spans="1:9" ht="9.75">
      <c r="A34" s="85" t="s">
        <v>341</v>
      </c>
      <c r="B34" s="59" t="str">
        <f>VLOOKUP(I34,'2018 SY O&amp;M Exp'!$A$8:$F$206,6,FALSE)</f>
        <v>518</v>
      </c>
      <c r="C34" s="60">
        <f>VLOOKUP(I34,'2018 SY O&amp;M Exp'!$A$8:$D$206,4,FALSE)</f>
        <v>0</v>
      </c>
      <c r="D34" s="60"/>
      <c r="E34" s="60">
        <f t="shared" si="3"/>
        <v>0</v>
      </c>
      <c r="F34" s="60"/>
      <c r="G34" s="60">
        <f t="shared" si="4"/>
        <v>0</v>
      </c>
      <c r="I34" s="3" t="str">
        <f t="shared" si="2"/>
        <v>INC118180</v>
      </c>
    </row>
    <row r="35" spans="1:9" ht="9.75">
      <c r="A35" s="83" t="s">
        <v>299</v>
      </c>
      <c r="B35" s="59" t="str">
        <f>VLOOKUP(I35,'2018 SY O&amp;M Exp'!$A$8:$F$206,6,FALSE)</f>
        <v>518</v>
      </c>
      <c r="C35" s="60">
        <f>VLOOKUP(I35,'2018 SY O&amp;M Exp'!$A$8:$D$206,4,FALSE)</f>
        <v>11753694.840000002</v>
      </c>
      <c r="D35" s="60"/>
      <c r="E35" s="60">
        <f t="shared" si="3"/>
        <v>11753694.840000002</v>
      </c>
      <c r="F35" s="60">
        <f>-E35</f>
        <v>-11753694.840000002</v>
      </c>
      <c r="G35" s="60">
        <f t="shared" si="4"/>
        <v>0</v>
      </c>
      <c r="I35" s="3" t="str">
        <f t="shared" si="2"/>
        <v>INC118210</v>
      </c>
    </row>
    <row r="36" spans="1:9" ht="9.75">
      <c r="A36" s="83" t="s">
        <v>37</v>
      </c>
      <c r="B36" s="59" t="str">
        <f>VLOOKUP(I36,'2018 SY O&amp;M Exp'!$A$8:$F$206,6,FALSE)</f>
        <v>519</v>
      </c>
      <c r="C36" s="60">
        <f>VLOOKUP(I36,'2018 SY O&amp;M Exp'!$A$8:$D$206,4,FALSE)</f>
        <v>10678965.18</v>
      </c>
      <c r="D36" s="60"/>
      <c r="E36" s="60">
        <f t="shared" si="3"/>
        <v>10678965.18</v>
      </c>
      <c r="F36" s="60"/>
      <c r="G36" s="60">
        <f t="shared" si="4"/>
        <v>10678965.18</v>
      </c>
      <c r="I36" s="3" t="str">
        <f t="shared" si="2"/>
        <v>INC119000</v>
      </c>
    </row>
    <row r="37" spans="1:9" ht="9.75">
      <c r="A37" s="83" t="s">
        <v>38</v>
      </c>
      <c r="B37" s="59" t="str">
        <f>VLOOKUP(I37,'2018 SY O&amp;M Exp'!$A$8:$F$206,6,FALSE)</f>
        <v>520</v>
      </c>
      <c r="C37" s="60">
        <f>VLOOKUP(I37,'2018 SY O&amp;M Exp'!$A$8:$D$206,4,FALSE)</f>
        <v>49802962.17999999</v>
      </c>
      <c r="D37" s="60"/>
      <c r="E37" s="60">
        <f t="shared" si="3"/>
        <v>49802962.17999999</v>
      </c>
      <c r="F37" s="60"/>
      <c r="G37" s="60">
        <f t="shared" si="4"/>
        <v>49802962.17999999</v>
      </c>
      <c r="H37" s="71"/>
      <c r="I37" s="3" t="str">
        <f t="shared" si="2"/>
        <v>INC120000</v>
      </c>
    </row>
    <row r="38" spans="1:9" ht="9.75">
      <c r="A38" s="83" t="s">
        <v>40</v>
      </c>
      <c r="B38" s="59" t="str">
        <f>VLOOKUP(I38,'2018 SY O&amp;M Exp'!$A$8:$F$206,6,FALSE)</f>
        <v>523</v>
      </c>
      <c r="C38" s="60">
        <f>VLOOKUP(I38,'2018 SY O&amp;M Exp'!$A$8:$D$206,4,FALSE)</f>
        <v>243864.36999999997</v>
      </c>
      <c r="D38" s="60"/>
      <c r="E38" s="60">
        <f t="shared" si="3"/>
        <v>243864.36999999997</v>
      </c>
      <c r="F38" s="60"/>
      <c r="G38" s="60">
        <f t="shared" si="4"/>
        <v>243864.36999999997</v>
      </c>
      <c r="I38" s="3" t="str">
        <f t="shared" si="2"/>
        <v>INC123000</v>
      </c>
    </row>
    <row r="39" spans="1:9" ht="9.75">
      <c r="A39" s="83" t="s">
        <v>300</v>
      </c>
      <c r="B39" s="59" t="str">
        <f>VLOOKUP(I39,'2018 SY O&amp;M Exp'!$A$8:$F$206,6,FALSE)</f>
        <v>524</v>
      </c>
      <c r="C39" s="60">
        <f>VLOOKUP(I39,'2018 SY O&amp;M Exp'!$A$8:$D$206,4,FALSE)</f>
        <v>83646833.15</v>
      </c>
      <c r="D39" s="60"/>
      <c r="E39" s="60">
        <f t="shared" si="3"/>
        <v>83646833.15</v>
      </c>
      <c r="F39" s="60"/>
      <c r="G39" s="60">
        <f t="shared" si="4"/>
        <v>83646833.15</v>
      </c>
      <c r="I39" s="3" t="str">
        <f t="shared" si="2"/>
        <v>INC124000</v>
      </c>
    </row>
    <row r="40" spans="1:9" ht="9.75">
      <c r="A40" s="83" t="s">
        <v>42</v>
      </c>
      <c r="B40" s="59" t="str">
        <f>VLOOKUP(I40,'2018 SY O&amp;M Exp'!$A$8:$F$206,6,FALSE)</f>
        <v>524</v>
      </c>
      <c r="C40" s="60">
        <f>VLOOKUP(I40,'2018 SY O&amp;M Exp'!$A$8:$D$206,4,FALSE)</f>
        <v>72873.72</v>
      </c>
      <c r="D40" s="60">
        <f>-C40</f>
        <v>-72873.72</v>
      </c>
      <c r="E40" s="60">
        <f t="shared" si="3"/>
        <v>0</v>
      </c>
      <c r="F40" s="60"/>
      <c r="G40" s="60">
        <f t="shared" si="4"/>
        <v>0</v>
      </c>
      <c r="I40" s="3" t="str">
        <f t="shared" si="2"/>
        <v>INC124100</v>
      </c>
    </row>
    <row r="41" spans="1:9" ht="9.75">
      <c r="A41" s="83" t="s">
        <v>301</v>
      </c>
      <c r="B41" s="59" t="str">
        <f>VLOOKUP(I41,'2018 SY O&amp;M Exp'!$A$8:$F$206,6,FALSE)</f>
        <v>524</v>
      </c>
      <c r="C41" s="60">
        <f>VLOOKUP(I41,'2018 SY O&amp;M Exp'!$A$8:$D$206,4,FALSE)</f>
        <v>0</v>
      </c>
      <c r="D41" s="60">
        <f>-C41</f>
        <v>0</v>
      </c>
      <c r="E41" s="60">
        <f t="shared" si="3"/>
        <v>0</v>
      </c>
      <c r="F41" s="60"/>
      <c r="G41" s="60">
        <f t="shared" si="4"/>
        <v>0</v>
      </c>
      <c r="I41" s="3" t="str">
        <f t="shared" si="2"/>
        <v>INC124500</v>
      </c>
    </row>
    <row r="42" spans="1:9" ht="9.75">
      <c r="A42" s="83" t="s">
        <v>342</v>
      </c>
      <c r="B42" s="59" t="str">
        <f>VLOOKUP(I42,'2018 SY O&amp;M Exp'!$A$8:$F$206,6,FALSE)</f>
        <v>524</v>
      </c>
      <c r="C42" s="60">
        <f>VLOOKUP(I42,'2018 SY O&amp;M Exp'!$A$8:$D$206,4,FALSE)</f>
        <v>0</v>
      </c>
      <c r="D42" s="60"/>
      <c r="E42" s="60">
        <f>+C42+D42</f>
        <v>0</v>
      </c>
      <c r="F42" s="60"/>
      <c r="G42" s="60">
        <f>+E42+F42</f>
        <v>0</v>
      </c>
      <c r="I42" s="3" t="str">
        <f t="shared" si="2"/>
        <v>INC124502</v>
      </c>
    </row>
    <row r="43" spans="1:9" ht="9.75">
      <c r="A43" s="83" t="s">
        <v>43</v>
      </c>
      <c r="B43" s="59" t="str">
        <f>VLOOKUP(I43,'2018 SY O&amp;M Exp'!$A$8:$F$206,6,FALSE)</f>
        <v>525</v>
      </c>
      <c r="C43" s="60">
        <f>VLOOKUP(I43,'2018 SY O&amp;M Exp'!$A$8:$D$206,4,FALSE)</f>
        <v>0</v>
      </c>
      <c r="D43" s="60"/>
      <c r="E43" s="60">
        <f>+C43+D43</f>
        <v>0</v>
      </c>
      <c r="F43" s="60"/>
      <c r="G43" s="60">
        <f>+E43+F43</f>
        <v>0</v>
      </c>
      <c r="I43" s="3" t="str">
        <f t="shared" si="2"/>
        <v>INC125000</v>
      </c>
    </row>
    <row r="44" spans="1:9" ht="9.75">
      <c r="A44" s="83" t="s">
        <v>302</v>
      </c>
      <c r="B44" s="59" t="str">
        <f>VLOOKUP(I44,'2018 SY O&amp;M Exp'!$A$8:$F$206,6,FALSE)</f>
        <v>528</v>
      </c>
      <c r="C44" s="60">
        <f>VLOOKUP(I44,'2018 SY O&amp;M Exp'!$A$8:$D$206,4,FALSE)</f>
        <v>91165449.9</v>
      </c>
      <c r="D44" s="60"/>
      <c r="E44" s="60">
        <f t="shared" si="3"/>
        <v>91165449.9</v>
      </c>
      <c r="F44" s="60"/>
      <c r="G44" s="60">
        <f t="shared" si="4"/>
        <v>91165449.9</v>
      </c>
      <c r="I44" s="3" t="str">
        <f t="shared" si="2"/>
        <v>INC128000</v>
      </c>
    </row>
    <row r="45" spans="1:9" ht="9.75">
      <c r="A45" s="83" t="s">
        <v>45</v>
      </c>
      <c r="B45" s="59" t="str">
        <f>VLOOKUP(I45,'2018 SY O&amp;M Exp'!$A$8:$F$206,6,FALSE)</f>
        <v>529</v>
      </c>
      <c r="C45" s="60">
        <f>VLOOKUP(I45,'2018 SY O&amp;M Exp'!$A$8:$D$206,4,FALSE)</f>
        <v>11232051.85</v>
      </c>
      <c r="D45" s="60"/>
      <c r="E45" s="60">
        <f t="shared" si="3"/>
        <v>11232051.85</v>
      </c>
      <c r="F45" s="60"/>
      <c r="G45" s="60">
        <f t="shared" si="4"/>
        <v>11232051.85</v>
      </c>
      <c r="I45" s="3" t="str">
        <f t="shared" si="2"/>
        <v>INC129000</v>
      </c>
    </row>
    <row r="46" spans="1:9" ht="9.75">
      <c r="A46" s="83" t="s">
        <v>46</v>
      </c>
      <c r="B46" s="59" t="str">
        <f>VLOOKUP(I46,'2018 SY O&amp;M Exp'!$A$8:$F$206,6,FALSE)</f>
        <v>529</v>
      </c>
      <c r="C46" s="60">
        <f>VLOOKUP(I46,'2018 SY O&amp;M Exp'!$A$8:$D$206,4,FALSE)</f>
        <v>610000</v>
      </c>
      <c r="D46" s="60">
        <f>-C46</f>
        <v>-610000</v>
      </c>
      <c r="E46" s="60">
        <f t="shared" si="3"/>
        <v>0</v>
      </c>
      <c r="F46" s="60"/>
      <c r="G46" s="60">
        <f t="shared" si="4"/>
        <v>0</v>
      </c>
      <c r="I46" s="3" t="str">
        <f t="shared" si="2"/>
        <v>INC129100</v>
      </c>
    </row>
    <row r="47" spans="1:9" ht="9.75">
      <c r="A47" s="83" t="s">
        <v>47</v>
      </c>
      <c r="B47" s="59" t="str">
        <f>VLOOKUP(I47,'2018 SY O&amp;M Exp'!$A$8:$F$206,6,FALSE)</f>
        <v>530</v>
      </c>
      <c r="C47" s="60">
        <f>VLOOKUP(I47,'2018 SY O&amp;M Exp'!$A$8:$D$206,4,FALSE)</f>
        <v>17146986.82</v>
      </c>
      <c r="D47" s="60"/>
      <c r="E47" s="60">
        <f t="shared" si="3"/>
        <v>17146986.82</v>
      </c>
      <c r="F47" s="60"/>
      <c r="G47" s="60">
        <f t="shared" si="4"/>
        <v>17146986.82</v>
      </c>
      <c r="I47" s="3" t="str">
        <f t="shared" si="2"/>
        <v>INC130000</v>
      </c>
    </row>
    <row r="48" spans="1:9" ht="9.75">
      <c r="A48" s="83" t="s">
        <v>48</v>
      </c>
      <c r="B48" s="59" t="str">
        <f>VLOOKUP(I48,'2018 SY O&amp;M Exp'!$A$8:$F$206,6,FALSE)</f>
        <v>531</v>
      </c>
      <c r="C48" s="60">
        <f>VLOOKUP(I48,'2018 SY O&amp;M Exp'!$A$8:$D$206,4,FALSE)</f>
        <v>12880892.829999998</v>
      </c>
      <c r="D48" s="60"/>
      <c r="E48" s="60">
        <f t="shared" si="3"/>
        <v>12880892.829999998</v>
      </c>
      <c r="F48" s="60"/>
      <c r="G48" s="60">
        <f t="shared" si="4"/>
        <v>12880892.829999998</v>
      </c>
      <c r="I48" s="3" t="str">
        <f t="shared" si="2"/>
        <v>INC131000</v>
      </c>
    </row>
    <row r="49" spans="1:9" ht="9.75">
      <c r="A49" s="83" t="s">
        <v>303</v>
      </c>
      <c r="B49" s="59" t="str">
        <f>VLOOKUP(I49,'2018 SY O&amp;M Exp'!$A$8:$F$206,6,FALSE)</f>
        <v>532</v>
      </c>
      <c r="C49" s="60">
        <f>VLOOKUP(I49,'2018 SY O&amp;M Exp'!$A$8:$D$206,4,FALSE)</f>
        <v>21131209.12</v>
      </c>
      <c r="D49" s="60"/>
      <c r="E49" s="60">
        <f>+C49+D49</f>
        <v>21131209.12</v>
      </c>
      <c r="F49" s="60"/>
      <c r="G49" s="60">
        <f>+E49+F49</f>
        <v>21131209.12</v>
      </c>
      <c r="I49" s="3" t="str">
        <f t="shared" si="2"/>
        <v>INC132000</v>
      </c>
    </row>
    <row r="50" spans="1:9" ht="10.5" thickBot="1">
      <c r="A50" s="83" t="s">
        <v>50</v>
      </c>
      <c r="B50" s="59" t="str">
        <f>VLOOKUP(I50,'2018 SY O&amp;M Exp'!$A$8:$F$206,6,FALSE)</f>
        <v>532</v>
      </c>
      <c r="C50" s="60">
        <f>VLOOKUP(I50,'2018 SY O&amp;M Exp'!$A$8:$D$206,4,FALSE)</f>
        <v>0</v>
      </c>
      <c r="D50" s="61">
        <f>-C50</f>
        <v>0</v>
      </c>
      <c r="E50" s="61">
        <f t="shared" si="3"/>
        <v>0</v>
      </c>
      <c r="F50" s="61"/>
      <c r="G50" s="61">
        <f t="shared" si="4"/>
        <v>0</v>
      </c>
      <c r="I50" s="3" t="str">
        <f t="shared" si="2"/>
        <v>INC132100</v>
      </c>
    </row>
    <row r="51" spans="1:9" ht="9.75">
      <c r="A51" s="83" t="s">
        <v>51</v>
      </c>
      <c r="B51" s="59"/>
      <c r="C51" s="60">
        <f>SUM(C30:C50)</f>
        <v>606240980.8737352</v>
      </c>
      <c r="D51" s="60">
        <f>SUM(D30:D50)</f>
        <v>-214990082.26373512</v>
      </c>
      <c r="E51" s="60">
        <f>SUM(E30:E50)</f>
        <v>391250898.61</v>
      </c>
      <c r="F51" s="60">
        <f>SUM(F30:F50)</f>
        <v>-11753694.840000002</v>
      </c>
      <c r="G51" s="70">
        <f>SUM(G30:G50)</f>
        <v>379497203.77</v>
      </c>
      <c r="I51" s="3" t="str">
        <f t="shared" si="2"/>
        <v>      SUB</v>
      </c>
    </row>
    <row r="52" spans="1:9" ht="9.75">
      <c r="A52" s="83"/>
      <c r="B52" s="59"/>
      <c r="C52" s="60"/>
      <c r="D52" s="60"/>
      <c r="E52" s="60"/>
      <c r="F52" s="60"/>
      <c r="G52" s="60"/>
      <c r="I52" s="3">
        <f t="shared" si="2"/>
      </c>
    </row>
    <row r="53" spans="1:9" ht="10.5" thickBot="1">
      <c r="A53" s="84" t="s">
        <v>52</v>
      </c>
      <c r="B53" s="59"/>
      <c r="C53" s="60"/>
      <c r="D53" s="60"/>
      <c r="E53" s="60"/>
      <c r="F53" s="60"/>
      <c r="G53" s="60"/>
      <c r="I53" s="3" t="str">
        <f t="shared" si="2"/>
        <v>OTHER PRO</v>
      </c>
    </row>
    <row r="54" spans="1:9" ht="9.75">
      <c r="A54" s="83" t="s">
        <v>304</v>
      </c>
      <c r="B54" s="59" t="str">
        <f>VLOOKUP(I54,'2018 SY O&amp;M Exp'!$A$8:$F$206,6,FALSE)</f>
        <v>546</v>
      </c>
      <c r="C54" s="60">
        <f>VLOOKUP(I54,'2018 SY O&amp;M Exp'!$A$8:$D$206,4,FALSE)</f>
        <v>16670758.119999997</v>
      </c>
      <c r="D54" s="60"/>
      <c r="E54" s="60">
        <f aca="true" t="shared" si="5" ref="E54:E69">+C54+D54</f>
        <v>16670758.119999997</v>
      </c>
      <c r="F54" s="60"/>
      <c r="G54" s="60">
        <f aca="true" t="shared" si="6" ref="G54:G68">+E54+F54</f>
        <v>16670758.119999997</v>
      </c>
      <c r="I54" s="3" t="str">
        <f t="shared" si="2"/>
        <v>INC146000</v>
      </c>
    </row>
    <row r="55" spans="1:9" ht="9.75">
      <c r="A55" s="83" t="s">
        <v>305</v>
      </c>
      <c r="B55" s="59" t="str">
        <f>VLOOKUP(I55,'2018 SY O&amp;M Exp'!$A$8:$F$206,6,FALSE)</f>
        <v>552</v>
      </c>
      <c r="C55" s="60">
        <f>VLOOKUP(I55,'2018 SY O&amp;M Exp'!$A$8:$D$206,4,FALSE)</f>
        <v>284036.0300000001</v>
      </c>
      <c r="D55" s="60">
        <f>-C55</f>
        <v>-284036.0300000001</v>
      </c>
      <c r="E55" s="60">
        <f t="shared" si="5"/>
        <v>0</v>
      </c>
      <c r="F55" s="60"/>
      <c r="G55" s="60">
        <f t="shared" si="6"/>
        <v>0</v>
      </c>
      <c r="I55" s="3" t="str">
        <f t="shared" si="2"/>
        <v>INC146100</v>
      </c>
    </row>
    <row r="56" spans="1:9" ht="9.75">
      <c r="A56" s="83" t="s">
        <v>54</v>
      </c>
      <c r="B56" s="59" t="str">
        <f>VLOOKUP(I56,'2018 SY O&amp;M Exp'!$A$8:$F$206,6,FALSE)</f>
        <v>547</v>
      </c>
      <c r="C56" s="60">
        <f>VLOOKUP(I56,'2018 SY O&amp;M Exp'!$A$8:$D$206,4,FALSE)</f>
        <v>2470786768.429283</v>
      </c>
      <c r="D56" s="60">
        <f>-C56</f>
        <v>-2470786768.429283</v>
      </c>
      <c r="E56" s="60">
        <f t="shared" si="5"/>
        <v>0</v>
      </c>
      <c r="F56" s="60"/>
      <c r="G56" s="60">
        <f t="shared" si="6"/>
        <v>0</v>
      </c>
      <c r="I56" s="3" t="str">
        <f t="shared" si="2"/>
        <v>INC147110</v>
      </c>
    </row>
    <row r="57" spans="1:9" ht="9.75">
      <c r="A57" s="83" t="s">
        <v>306</v>
      </c>
      <c r="B57" s="59" t="str">
        <f>VLOOKUP(I57,'2018 SY O&amp;M Exp'!$A$8:$F$206,6,FALSE)</f>
        <v>547</v>
      </c>
      <c r="C57" s="60">
        <f>VLOOKUP(I57,'2018 SY O&amp;M Exp'!$A$8:$D$206,4,FALSE)</f>
        <v>4482704.11</v>
      </c>
      <c r="D57" s="60"/>
      <c r="E57" s="60">
        <f t="shared" si="5"/>
        <v>4482704.11</v>
      </c>
      <c r="F57" s="60">
        <f>-E57</f>
        <v>-4482704.11</v>
      </c>
      <c r="G57" s="60">
        <f t="shared" si="6"/>
        <v>0</v>
      </c>
      <c r="I57" s="3" t="str">
        <f t="shared" si="2"/>
        <v>INC147200</v>
      </c>
    </row>
    <row r="58" spans="1:9" ht="9.75">
      <c r="A58" s="83" t="s">
        <v>56</v>
      </c>
      <c r="B58" s="59" t="str">
        <f>VLOOKUP(I58,'2018 SY O&amp;M Exp'!$A$8:$F$206,6,FALSE)</f>
        <v>548</v>
      </c>
      <c r="C58" s="60">
        <f>VLOOKUP(I58,'2018 SY O&amp;M Exp'!$A$8:$D$206,4,FALSE)</f>
        <v>19641032.740000002</v>
      </c>
      <c r="D58" s="60"/>
      <c r="E58" s="60">
        <f t="shared" si="5"/>
        <v>19641032.740000002</v>
      </c>
      <c r="F58" s="60"/>
      <c r="G58" s="60">
        <f t="shared" si="6"/>
        <v>19641032.740000002</v>
      </c>
      <c r="I58" s="3" t="str">
        <f t="shared" si="2"/>
        <v>INC148000</v>
      </c>
    </row>
    <row r="59" spans="1:9" ht="9.75">
      <c r="A59" s="83" t="s">
        <v>307</v>
      </c>
      <c r="B59" s="59" t="str">
        <f>VLOOKUP(I59,'2018 SY O&amp;M Exp'!$A$8:$F$206,6,FALSE)</f>
        <v>549</v>
      </c>
      <c r="C59" s="60">
        <f>VLOOKUP(I59,'2018 SY O&amp;M Exp'!$A$8:$D$206,4,FALSE)</f>
        <v>30608175.239999987</v>
      </c>
      <c r="D59" s="60"/>
      <c r="E59" s="60">
        <f t="shared" si="5"/>
        <v>30608175.239999987</v>
      </c>
      <c r="F59" s="60"/>
      <c r="G59" s="60">
        <f t="shared" si="6"/>
        <v>30608175.239999987</v>
      </c>
      <c r="I59" s="3" t="str">
        <f t="shared" si="2"/>
        <v>INC149000</v>
      </c>
    </row>
    <row r="60" spans="1:9" ht="9.75">
      <c r="A60" s="83" t="s">
        <v>58</v>
      </c>
      <c r="B60" s="59" t="str">
        <f>VLOOKUP(I60,'2018 SY O&amp;M Exp'!$A$8:$F$206,6,FALSE)</f>
        <v>549</v>
      </c>
      <c r="C60" s="60">
        <f>VLOOKUP(I60,'2018 SY O&amp;M Exp'!$A$8:$D$206,4,FALSE)</f>
        <v>2036554.0400000005</v>
      </c>
      <c r="D60" s="60">
        <f>-C60</f>
        <v>-2036554.0400000005</v>
      </c>
      <c r="E60" s="60">
        <f t="shared" si="5"/>
        <v>0</v>
      </c>
      <c r="F60" s="60"/>
      <c r="G60" s="60">
        <f t="shared" si="6"/>
        <v>0</v>
      </c>
      <c r="I60" s="3" t="str">
        <f t="shared" si="2"/>
        <v>INC149100</v>
      </c>
    </row>
    <row r="61" spans="1:9" ht="9.75">
      <c r="A61" s="83" t="s">
        <v>343</v>
      </c>
      <c r="B61" s="59" t="str">
        <f>VLOOKUP(I61,'2018 SY O&amp;M Exp'!$A$8:$F$206,6,FALSE)</f>
        <v>549</v>
      </c>
      <c r="C61" s="60">
        <f>VLOOKUP(I61,'2018 SY O&amp;M Exp'!$A$8:$D$206,4,FALSE)</f>
        <v>4246490.000000001</v>
      </c>
      <c r="D61" s="60"/>
      <c r="E61" s="60">
        <f>+C61+D61</f>
        <v>4246490.000000001</v>
      </c>
      <c r="F61" s="60"/>
      <c r="G61" s="60">
        <f>+E61+F61</f>
        <v>4246490.000000001</v>
      </c>
      <c r="I61" s="3" t="str">
        <f t="shared" si="2"/>
        <v>INC149111</v>
      </c>
    </row>
    <row r="62" spans="1:9" ht="9.75">
      <c r="A62" s="83" t="s">
        <v>59</v>
      </c>
      <c r="B62" s="59" t="str">
        <f>VLOOKUP(I62,'2018 SY O&amp;M Exp'!$A$8:$F$206,6,FALSE)</f>
        <v>549</v>
      </c>
      <c r="C62" s="60">
        <f>VLOOKUP(I62,'2018 SY O&amp;M Exp'!$A$8:$D$206,4,FALSE)</f>
        <v>1354250.8900000001</v>
      </c>
      <c r="D62" s="60">
        <f>-C62</f>
        <v>-1354250.8900000001</v>
      </c>
      <c r="E62" s="60">
        <f t="shared" si="5"/>
        <v>0</v>
      </c>
      <c r="F62" s="60"/>
      <c r="G62" s="60">
        <f t="shared" si="6"/>
        <v>0</v>
      </c>
      <c r="I62" s="3" t="str">
        <f t="shared" si="2"/>
        <v>INC149900</v>
      </c>
    </row>
    <row r="63" spans="1:9" ht="9.75">
      <c r="A63" s="83" t="s">
        <v>308</v>
      </c>
      <c r="B63" s="59" t="str">
        <f>VLOOKUP(I63,'2018 SY O&amp;M Exp'!$A$8:$F$206,6,FALSE)</f>
        <v>551</v>
      </c>
      <c r="C63" s="60">
        <f>VLOOKUP(I63,'2018 SY O&amp;M Exp'!$A$8:$D$206,4,FALSE)</f>
        <v>10700397.600000003</v>
      </c>
      <c r="D63" s="60"/>
      <c r="E63" s="60">
        <f t="shared" si="5"/>
        <v>10700397.600000003</v>
      </c>
      <c r="F63" s="60"/>
      <c r="G63" s="60">
        <f t="shared" si="6"/>
        <v>10700397.600000003</v>
      </c>
      <c r="I63" s="3" t="str">
        <f t="shared" si="2"/>
        <v>INC151000</v>
      </c>
    </row>
    <row r="64" spans="1:9" ht="9.75">
      <c r="A64" s="83" t="s">
        <v>309</v>
      </c>
      <c r="B64" s="59" t="str">
        <f>VLOOKUP(I64,'2018 SY O&amp;M Exp'!$A$8:$F$206,6,FALSE)</f>
        <v>552</v>
      </c>
      <c r="C64" s="60">
        <f>VLOOKUP(I64,'2018 SY O&amp;M Exp'!$A$8:$D$206,4,FALSE)</f>
        <v>272937.72000000003</v>
      </c>
      <c r="D64" s="60">
        <f>-C64</f>
        <v>-272937.72000000003</v>
      </c>
      <c r="E64" s="60">
        <f t="shared" si="5"/>
        <v>0</v>
      </c>
      <c r="F64" s="60"/>
      <c r="G64" s="60">
        <f t="shared" si="6"/>
        <v>0</v>
      </c>
      <c r="I64" s="3" t="str">
        <f t="shared" si="2"/>
        <v>INC151100</v>
      </c>
    </row>
    <row r="65" spans="1:9" ht="9.75">
      <c r="A65" s="83" t="s">
        <v>62</v>
      </c>
      <c r="B65" s="59" t="str">
        <f>VLOOKUP(I65,'2018 SY O&amp;M Exp'!$A$8:$F$206,6,FALSE)</f>
        <v>552</v>
      </c>
      <c r="C65" s="60">
        <f>VLOOKUP(I65,'2018 SY O&amp;M Exp'!$A$8:$D$206,4,FALSE)</f>
        <v>18169353.409999993</v>
      </c>
      <c r="D65" s="60"/>
      <c r="E65" s="60">
        <f t="shared" si="5"/>
        <v>18169353.409999993</v>
      </c>
      <c r="F65" s="60"/>
      <c r="G65" s="60">
        <f t="shared" si="6"/>
        <v>18169353.409999993</v>
      </c>
      <c r="I65" s="3" t="str">
        <f aca="true" t="shared" si="7" ref="I65:I123">LEFT(A65,9)</f>
        <v>INC152000</v>
      </c>
    </row>
    <row r="66" spans="1:9" ht="9.75">
      <c r="A66" s="83" t="s">
        <v>63</v>
      </c>
      <c r="B66" s="59" t="str">
        <f>VLOOKUP(I66,'2018 SY O&amp;M Exp'!$A$8:$F$206,6,FALSE)</f>
        <v>552</v>
      </c>
      <c r="C66" s="60">
        <f>VLOOKUP(I66,'2018 SY O&amp;M Exp'!$A$8:$D$206,4,FALSE)</f>
        <v>387171.16</v>
      </c>
      <c r="D66" s="60">
        <f>-C66</f>
        <v>-387171.16</v>
      </c>
      <c r="E66" s="60">
        <f t="shared" si="5"/>
        <v>0</v>
      </c>
      <c r="F66" s="60"/>
      <c r="G66" s="60">
        <f t="shared" si="6"/>
        <v>0</v>
      </c>
      <c r="I66" s="3" t="str">
        <f t="shared" si="7"/>
        <v>INC152100</v>
      </c>
    </row>
    <row r="67" spans="1:9" ht="9.75">
      <c r="A67" s="83" t="s">
        <v>310</v>
      </c>
      <c r="B67" s="59" t="str">
        <f>VLOOKUP(I67,'2018 SY O&amp;M Exp'!$A$8:$F$206,6,FALSE)</f>
        <v>553</v>
      </c>
      <c r="C67" s="60">
        <f>VLOOKUP(I67,'2018 SY O&amp;M Exp'!$A$8:$D$206,4,FALSE)</f>
        <v>51989554.59000002</v>
      </c>
      <c r="D67" s="60"/>
      <c r="E67" s="60">
        <f t="shared" si="5"/>
        <v>51989554.59000002</v>
      </c>
      <c r="F67" s="60"/>
      <c r="G67" s="60">
        <f t="shared" si="6"/>
        <v>51989554.59000002</v>
      </c>
      <c r="I67" s="3" t="str">
        <f t="shared" si="7"/>
        <v>INC153000</v>
      </c>
    </row>
    <row r="68" spans="1:9" ht="9.75">
      <c r="A68" s="83" t="s">
        <v>66</v>
      </c>
      <c r="B68" s="59" t="str">
        <f>VLOOKUP(I68,'2018 SY O&amp;M Exp'!$A$8:$F$206,6,FALSE)</f>
        <v>553</v>
      </c>
      <c r="C68" s="60">
        <f>VLOOKUP(I68,'2018 SY O&amp;M Exp'!$A$8:$D$206,4,FALSE)</f>
        <v>4176758.130000001</v>
      </c>
      <c r="D68" s="60">
        <f>-C68</f>
        <v>-4176758.130000001</v>
      </c>
      <c r="E68" s="60">
        <f t="shared" si="5"/>
        <v>0</v>
      </c>
      <c r="F68" s="60"/>
      <c r="G68" s="60">
        <f t="shared" si="6"/>
        <v>0</v>
      </c>
      <c r="I68" s="3" t="str">
        <f t="shared" si="7"/>
        <v>INC153100</v>
      </c>
    </row>
    <row r="69" spans="1:9" ht="9.75">
      <c r="A69" s="83" t="s">
        <v>311</v>
      </c>
      <c r="B69" s="59" t="str">
        <f>VLOOKUP(I69,'2018 SY O&amp;M Exp'!$A$8:$F$206,6,FALSE)</f>
        <v>554</v>
      </c>
      <c r="C69" s="60">
        <f>VLOOKUP(I69,'2018 SY O&amp;M Exp'!$A$8:$D$206,4,FALSE)</f>
        <v>6954363.88</v>
      </c>
      <c r="D69" s="60"/>
      <c r="E69" s="60">
        <f t="shared" si="5"/>
        <v>6954363.88</v>
      </c>
      <c r="F69" s="60"/>
      <c r="G69" s="60">
        <f aca="true" t="shared" si="8" ref="G69:G75">+E69+F69</f>
        <v>6954363.88</v>
      </c>
      <c r="I69" s="3" t="str">
        <f t="shared" si="7"/>
        <v>INC154000</v>
      </c>
    </row>
    <row r="70" spans="1:9" ht="9.75">
      <c r="A70" s="83" t="s">
        <v>68</v>
      </c>
      <c r="B70" s="59" t="str">
        <f>VLOOKUP(I70,'2018 SY O&amp;M Exp'!$A$8:$F$206,6,FALSE)</f>
        <v>554</v>
      </c>
      <c r="C70" s="60">
        <f>VLOOKUP(I70,'2018 SY O&amp;M Exp'!$A$8:$D$206,4,FALSE)</f>
        <v>35867.68</v>
      </c>
      <c r="D70" s="60">
        <f aca="true" t="shared" si="9" ref="D70:D75">-C70</f>
        <v>-35867.68</v>
      </c>
      <c r="E70" s="60">
        <f aca="true" t="shared" si="10" ref="E70:E75">+C70+D70</f>
        <v>0</v>
      </c>
      <c r="F70" s="60"/>
      <c r="G70" s="60">
        <f t="shared" si="8"/>
        <v>0</v>
      </c>
      <c r="I70" s="3" t="str">
        <f t="shared" si="7"/>
        <v>INC154100</v>
      </c>
    </row>
    <row r="71" spans="1:9" ht="9.75">
      <c r="A71" s="83" t="s">
        <v>314</v>
      </c>
      <c r="B71" s="59" t="str">
        <f>VLOOKUP(I71,'2018 SY O&amp;M Exp'!$A$8:$F$206,6,FALSE)</f>
        <v>557</v>
      </c>
      <c r="C71" s="60">
        <f>VLOOKUP(I71,'2018 SY O&amp;M Exp'!$A$8:$D$206,4,FALSE)</f>
        <v>0</v>
      </c>
      <c r="D71" s="60">
        <f t="shared" si="9"/>
        <v>0</v>
      </c>
      <c r="E71" s="60">
        <f t="shared" si="10"/>
        <v>0</v>
      </c>
      <c r="F71" s="60"/>
      <c r="G71" s="60">
        <f t="shared" si="8"/>
        <v>0</v>
      </c>
      <c r="I71" s="3" t="str">
        <f t="shared" si="7"/>
        <v>INC157900</v>
      </c>
    </row>
    <row r="72" spans="1:9" ht="9.75">
      <c r="A72" s="83" t="s">
        <v>607</v>
      </c>
      <c r="B72" s="59" t="str">
        <f>VLOOKUP(I72,'2018 SY O&amp;M Exp'!$A$8:$F$206,6,FALSE)</f>
        <v>557</v>
      </c>
      <c r="C72" s="60">
        <f>VLOOKUP(I72,'2018 SY O&amp;M Exp'!$A$8:$D$206,4,FALSE)</f>
        <v>90031969.60714287</v>
      </c>
      <c r="D72" s="60">
        <f t="shared" si="9"/>
        <v>-90031969.60714287</v>
      </c>
      <c r="E72" s="60">
        <f t="shared" si="10"/>
        <v>0</v>
      </c>
      <c r="F72" s="60"/>
      <c r="G72" s="60">
        <f t="shared" si="8"/>
        <v>0</v>
      </c>
      <c r="I72" s="3" t="str">
        <f t="shared" si="7"/>
        <v>INC157903</v>
      </c>
    </row>
    <row r="73" spans="1:9" ht="9.75">
      <c r="A73" s="83" t="s">
        <v>79</v>
      </c>
      <c r="B73" s="59" t="str">
        <f>VLOOKUP(I73,'2018 SY O&amp;M Exp'!$A$8:$F$206,6,FALSE)</f>
        <v>557</v>
      </c>
      <c r="C73" s="60">
        <f>VLOOKUP(I73,'2018 SY O&amp;M Exp'!$A$8:$D$206,4,FALSE)</f>
        <v>0</v>
      </c>
      <c r="D73" s="60">
        <f t="shared" si="9"/>
        <v>0</v>
      </c>
      <c r="E73" s="60">
        <f t="shared" si="10"/>
        <v>0</v>
      </c>
      <c r="F73" s="60"/>
      <c r="G73" s="60">
        <f t="shared" si="8"/>
        <v>0</v>
      </c>
      <c r="I73" s="3" t="str">
        <f t="shared" si="7"/>
        <v>INC157944</v>
      </c>
    </row>
    <row r="74" spans="1:9" ht="9.75">
      <c r="A74" s="83" t="s">
        <v>613</v>
      </c>
      <c r="B74" s="59">
        <v>752</v>
      </c>
      <c r="C74" s="60">
        <f>VLOOKUP(I74,'2018 SY O&amp;M Exp'!$A$8:$D$206,4,FALSE)</f>
        <v>2234074</v>
      </c>
      <c r="D74" s="60">
        <f t="shared" si="9"/>
        <v>-2234074</v>
      </c>
      <c r="E74" s="60">
        <f t="shared" si="10"/>
        <v>0</v>
      </c>
      <c r="F74" s="60"/>
      <c r="G74" s="60">
        <f t="shared" si="8"/>
        <v>0</v>
      </c>
      <c r="I74" s="3" t="str">
        <f t="shared" si="7"/>
        <v>INC158752</v>
      </c>
    </row>
    <row r="75" spans="1:9" ht="10.5" thickBot="1">
      <c r="A75" s="83" t="s">
        <v>619</v>
      </c>
      <c r="B75" s="59">
        <v>759</v>
      </c>
      <c r="C75" s="60">
        <f>VLOOKUP(I75,'2018 SY O&amp;M Exp'!$A$8:$D$206,4,FALSE)</f>
        <v>69862014</v>
      </c>
      <c r="D75" s="61">
        <f t="shared" si="9"/>
        <v>-69862014</v>
      </c>
      <c r="E75" s="61">
        <f t="shared" si="10"/>
        <v>0</v>
      </c>
      <c r="F75" s="61"/>
      <c r="G75" s="61">
        <f t="shared" si="8"/>
        <v>0</v>
      </c>
      <c r="I75" s="3" t="str">
        <f t="shared" si="7"/>
        <v>INC158759</v>
      </c>
    </row>
    <row r="76" spans="1:9" ht="9.75">
      <c r="A76" s="83" t="s">
        <v>69</v>
      </c>
      <c r="B76" s="59"/>
      <c r="C76" s="60">
        <f>SUM(C54:C75)</f>
        <v>2804925231.3764253</v>
      </c>
      <c r="D76" s="60">
        <f>SUM(D54:D75)</f>
        <v>-2641462401.6864257</v>
      </c>
      <c r="E76" s="60">
        <f>SUM(E54:E75)</f>
        <v>163462829.69</v>
      </c>
      <c r="F76" s="60">
        <f>SUM(F54:F75)</f>
        <v>-4482704.11</v>
      </c>
      <c r="G76" s="70">
        <f>SUM(G54:G75)</f>
        <v>158980125.58</v>
      </c>
      <c r="I76" s="3" t="str">
        <f t="shared" si="7"/>
        <v>      SUB</v>
      </c>
    </row>
    <row r="77" spans="1:9" ht="9.75">
      <c r="A77" s="83"/>
      <c r="B77" s="59"/>
      <c r="C77" s="60"/>
      <c r="D77" s="60"/>
      <c r="E77" s="60"/>
      <c r="F77" s="60"/>
      <c r="G77" s="60"/>
      <c r="I77" s="3">
        <f t="shared" si="7"/>
      </c>
    </row>
    <row r="78" spans="1:9" ht="10.5" thickBot="1">
      <c r="A78" s="84" t="s">
        <v>70</v>
      </c>
      <c r="B78" s="59"/>
      <c r="C78" s="60"/>
      <c r="D78" s="60"/>
      <c r="E78" s="60"/>
      <c r="F78" s="60"/>
      <c r="G78" s="60"/>
      <c r="I78" s="3" t="str">
        <f t="shared" si="7"/>
        <v>OTHER POW</v>
      </c>
    </row>
    <row r="79" spans="1:9" ht="9.75">
      <c r="A79" s="83" t="s">
        <v>312</v>
      </c>
      <c r="B79" s="59" t="str">
        <f>VLOOKUP(I79,'2018 SY O&amp;M Exp'!$A$8:$F$206,6,FALSE)</f>
        <v>555</v>
      </c>
      <c r="C79" s="60">
        <f>VLOOKUP(I79,'2018 SY O&amp;M Exp'!$A$8:$D$206,4,FALSE)</f>
        <v>206926379.56</v>
      </c>
      <c r="D79" s="60">
        <f>-C79</f>
        <v>-206926379.56</v>
      </c>
      <c r="E79" s="60">
        <f aca="true" t="shared" si="11" ref="E79:E84">+C79+D79</f>
        <v>0</v>
      </c>
      <c r="F79" s="60"/>
      <c r="G79" s="60">
        <f aca="true" t="shared" si="12" ref="G79:G84">+E79+F79</f>
        <v>0</v>
      </c>
      <c r="I79" s="3" t="str">
        <f t="shared" si="7"/>
        <v>INC155110</v>
      </c>
    </row>
    <row r="80" spans="1:9" ht="9.75">
      <c r="A80" s="83" t="s">
        <v>74</v>
      </c>
      <c r="B80" s="59" t="str">
        <f>VLOOKUP(I80,'2018 SY O&amp;M Exp'!$A$8:$F$206,6,FALSE)</f>
        <v>555</v>
      </c>
      <c r="C80" s="60">
        <f>VLOOKUP(I80,'2018 SY O&amp;M Exp'!$A$8:$D$206,4,FALSE)</f>
        <v>150878260.54999998</v>
      </c>
      <c r="D80" s="60">
        <f>-C80</f>
        <v>-150878260.54999998</v>
      </c>
      <c r="E80" s="60">
        <f>+C80+D80</f>
        <v>0</v>
      </c>
      <c r="F80" s="60"/>
      <c r="G80" s="60">
        <f>+E80+F80</f>
        <v>0</v>
      </c>
      <c r="I80" s="3" t="str">
        <f t="shared" si="7"/>
        <v>INC155410</v>
      </c>
    </row>
    <row r="81" spans="1:9" ht="9.75">
      <c r="A81" s="83" t="s">
        <v>313</v>
      </c>
      <c r="B81" s="59" t="str">
        <f>VLOOKUP(I81,'2018 SY O&amp;M Exp'!$A$8:$F$206,6,FALSE)</f>
        <v>556</v>
      </c>
      <c r="C81" s="60">
        <f>VLOOKUP(I81,'2018 SY O&amp;M Exp'!$A$8:$D$206,4,FALSE)</f>
        <v>4089182.3200000008</v>
      </c>
      <c r="D81" s="60"/>
      <c r="E81" s="60">
        <f t="shared" si="11"/>
        <v>4089182.3200000008</v>
      </c>
      <c r="F81" s="60"/>
      <c r="G81" s="60">
        <f t="shared" si="12"/>
        <v>4089182.3200000008</v>
      </c>
      <c r="I81" s="3" t="str">
        <f t="shared" si="7"/>
        <v>INC156000</v>
      </c>
    </row>
    <row r="82" spans="1:9" ht="9.75">
      <c r="A82" s="83" t="s">
        <v>77</v>
      </c>
      <c r="B82" s="59" t="str">
        <f>VLOOKUP(I82,'2018 SY O&amp;M Exp'!$A$8:$F$206,6,FALSE)</f>
        <v>557</v>
      </c>
      <c r="C82" s="60">
        <f>VLOOKUP(I82,'2018 SY O&amp;M Exp'!$A$8:$D$206,4,FALSE)</f>
        <v>2645055.0500000003</v>
      </c>
      <c r="D82" s="60"/>
      <c r="E82" s="60">
        <f t="shared" si="11"/>
        <v>2645055.0500000003</v>
      </c>
      <c r="F82" s="60"/>
      <c r="G82" s="60">
        <f t="shared" si="12"/>
        <v>2645055.0500000003</v>
      </c>
      <c r="I82" s="3" t="str">
        <f t="shared" si="7"/>
        <v>INC157000</v>
      </c>
    </row>
    <row r="83" spans="1:9" ht="9.75">
      <c r="A83" s="83" t="s">
        <v>80</v>
      </c>
      <c r="B83" s="59" t="str">
        <f>VLOOKUP(I83,'2018 SY O&amp;M Exp'!$A$8:$F$206,6,FALSE)</f>
        <v>557</v>
      </c>
      <c r="C83" s="60">
        <f>VLOOKUP(I83,'2018 SY O&amp;M Exp'!$A$8:$D$206,4,FALSE)</f>
        <v>-3.923196345567703E-08</v>
      </c>
      <c r="D83" s="60">
        <f>-C83</f>
        <v>3.923196345567703E-08</v>
      </c>
      <c r="E83" s="60">
        <f t="shared" si="11"/>
        <v>0</v>
      </c>
      <c r="F83" s="60"/>
      <c r="G83" s="60">
        <f t="shared" si="12"/>
        <v>0</v>
      </c>
      <c r="I83" s="3" t="str">
        <f t="shared" si="7"/>
        <v>INC157949</v>
      </c>
    </row>
    <row r="84" spans="1:9" ht="10.5" thickBot="1">
      <c r="A84" s="83" t="s">
        <v>315</v>
      </c>
      <c r="B84" s="59" t="str">
        <f>VLOOKUP(I84,'2018 SY O&amp;M Exp'!$A$8:$F$206,6,FALSE)</f>
        <v>557</v>
      </c>
      <c r="C84" s="60">
        <f>VLOOKUP(I84,'2018 SY O&amp;M Exp'!$A$8:$D$206,4,FALSE)</f>
        <v>0</v>
      </c>
      <c r="D84" s="61">
        <f>-C84</f>
        <v>0</v>
      </c>
      <c r="E84" s="61">
        <f t="shared" si="11"/>
        <v>0</v>
      </c>
      <c r="F84" s="61"/>
      <c r="G84" s="61">
        <f t="shared" si="12"/>
        <v>0</v>
      </c>
      <c r="I84" s="3" t="str">
        <f t="shared" si="7"/>
        <v>INC157980</v>
      </c>
    </row>
    <row r="85" spans="1:9" ht="9.75">
      <c r="A85" s="83" t="s">
        <v>82</v>
      </c>
      <c r="B85" s="59"/>
      <c r="C85" s="60">
        <f>SUM(C79:C84)</f>
        <v>364538877.47999996</v>
      </c>
      <c r="D85" s="60">
        <f>SUM(D79:D84)</f>
        <v>-357804640.10999995</v>
      </c>
      <c r="E85" s="60">
        <f>SUM(E79:E84)</f>
        <v>6734237.370000001</v>
      </c>
      <c r="F85" s="60">
        <f>SUM(F79:F84)</f>
        <v>0</v>
      </c>
      <c r="G85" s="70">
        <f>SUM(G79:G84)</f>
        <v>6734237.370000001</v>
      </c>
      <c r="I85" s="3" t="str">
        <f t="shared" si="7"/>
        <v>      SUB</v>
      </c>
    </row>
    <row r="86" spans="1:9" ht="9.75">
      <c r="A86" s="83"/>
      <c r="B86" s="59"/>
      <c r="C86" s="60"/>
      <c r="D86" s="60"/>
      <c r="E86" s="60"/>
      <c r="F86" s="60"/>
      <c r="G86" s="60"/>
      <c r="I86" s="3">
        <f t="shared" si="7"/>
      </c>
    </row>
    <row r="87" spans="1:9" ht="9.75">
      <c r="A87" s="83"/>
      <c r="B87" s="59"/>
      <c r="C87" s="60"/>
      <c r="D87" s="60"/>
      <c r="E87" s="60"/>
      <c r="F87" s="60"/>
      <c r="G87" s="60"/>
      <c r="I87" s="3">
        <f t="shared" si="7"/>
      </c>
    </row>
    <row r="88" spans="1:9" ht="10.5" thickBot="1">
      <c r="A88" s="84" t="s">
        <v>83</v>
      </c>
      <c r="B88" s="59"/>
      <c r="C88" s="60"/>
      <c r="D88" s="60"/>
      <c r="E88" s="60"/>
      <c r="F88" s="60"/>
      <c r="G88" s="60"/>
      <c r="I88" s="3" t="str">
        <f t="shared" si="7"/>
        <v>TRANSMISS</v>
      </c>
    </row>
    <row r="89" spans="1:9" ht="9.75">
      <c r="A89" s="83" t="s">
        <v>84</v>
      </c>
      <c r="B89" s="59" t="str">
        <f>VLOOKUP(I89,'2018 SY O&amp;M Exp'!$A$8:$F$206,6,FALSE)</f>
        <v>560</v>
      </c>
      <c r="C89" s="60">
        <f>VLOOKUP(I89,'2018 SY O&amp;M Exp'!$A$8:$D$206,4,FALSE)</f>
        <v>7370787.220000002</v>
      </c>
      <c r="D89" s="60"/>
      <c r="E89" s="60">
        <f aca="true" t="shared" si="13" ref="E89:E104">+C89+D89</f>
        <v>7370787.220000002</v>
      </c>
      <c r="F89" s="60"/>
      <c r="G89" s="60">
        <f aca="true" t="shared" si="14" ref="G89:G104">+E89+F89</f>
        <v>7370787.220000002</v>
      </c>
      <c r="I89" s="3" t="str">
        <f t="shared" si="7"/>
        <v>INC260010</v>
      </c>
    </row>
    <row r="90" spans="1:9" ht="9.75">
      <c r="A90" s="83" t="s">
        <v>85</v>
      </c>
      <c r="B90" s="59" t="str">
        <f>VLOOKUP(I90,'2018 SY O&amp;M Exp'!$A$8:$F$206,6,FALSE)</f>
        <v>561</v>
      </c>
      <c r="C90" s="60">
        <f>VLOOKUP(I90,'2018 SY O&amp;M Exp'!$A$8:$D$206,4,FALSE)</f>
        <v>11111678.5</v>
      </c>
      <c r="D90" s="60"/>
      <c r="E90" s="60">
        <f t="shared" si="13"/>
        <v>11111678.5</v>
      </c>
      <c r="F90" s="60"/>
      <c r="G90" s="60">
        <f t="shared" si="14"/>
        <v>11111678.5</v>
      </c>
      <c r="I90" s="3" t="str">
        <f t="shared" si="7"/>
        <v>INC261000</v>
      </c>
    </row>
    <row r="91" spans="1:9" ht="9.75">
      <c r="A91" s="83" t="s">
        <v>86</v>
      </c>
      <c r="B91" s="59" t="str">
        <f>VLOOKUP(I91,'2018 SY O&amp;M Exp'!$A$8:$F$206,6,FALSE)</f>
        <v>562</v>
      </c>
      <c r="C91" s="60">
        <f>VLOOKUP(I91,'2018 SY O&amp;M Exp'!$A$8:$D$206,4,FALSE)</f>
        <v>3252433.41</v>
      </c>
      <c r="D91" s="60"/>
      <c r="E91" s="60">
        <f t="shared" si="13"/>
        <v>3252433.41</v>
      </c>
      <c r="F91" s="60"/>
      <c r="G91" s="60">
        <f t="shared" si="14"/>
        <v>3252433.41</v>
      </c>
      <c r="I91" s="3" t="str">
        <f t="shared" si="7"/>
        <v>INC262000</v>
      </c>
    </row>
    <row r="92" spans="1:9" ht="9.75">
      <c r="A92" s="83" t="s">
        <v>88</v>
      </c>
      <c r="B92" s="59" t="str">
        <f>VLOOKUP(I92,'2018 SY O&amp;M Exp'!$A$8:$F$206,6,FALSE)</f>
        <v>563</v>
      </c>
      <c r="C92" s="60">
        <f>VLOOKUP(I92,'2018 SY O&amp;M Exp'!$A$8:$D$206,4,FALSE)</f>
        <v>375000</v>
      </c>
      <c r="D92" s="60"/>
      <c r="E92" s="60">
        <f t="shared" si="13"/>
        <v>375000</v>
      </c>
      <c r="F92" s="60"/>
      <c r="G92" s="60">
        <f t="shared" si="14"/>
        <v>375000</v>
      </c>
      <c r="I92" s="3" t="str">
        <f t="shared" si="7"/>
        <v>INC263000</v>
      </c>
    </row>
    <row r="93" spans="1:9" ht="9.75">
      <c r="A93" s="83" t="s">
        <v>316</v>
      </c>
      <c r="B93" s="59" t="str">
        <f>VLOOKUP(I93,'2018 SY O&amp;M Exp'!$A$8:$F$206,6,FALSE)</f>
        <v>565</v>
      </c>
      <c r="C93" s="60">
        <f>VLOOKUP(I93,'2018 SY O&amp;M Exp'!$A$8:$D$206,4,FALSE)</f>
        <v>18911182.470000003</v>
      </c>
      <c r="D93" s="60"/>
      <c r="E93" s="60">
        <f t="shared" si="13"/>
        <v>18911182.470000003</v>
      </c>
      <c r="F93" s="60">
        <f>-E93</f>
        <v>-18911182.470000003</v>
      </c>
      <c r="G93" s="60">
        <f t="shared" si="14"/>
        <v>0</v>
      </c>
      <c r="I93" s="3" t="str">
        <f t="shared" si="7"/>
        <v>INC265000</v>
      </c>
    </row>
    <row r="94" spans="1:9" ht="9.75">
      <c r="A94" s="83" t="s">
        <v>91</v>
      </c>
      <c r="B94" s="59" t="str">
        <f>VLOOKUP(I94,'2018 SY O&amp;M Exp'!$A$8:$F$206,6,FALSE)</f>
        <v>565</v>
      </c>
      <c r="C94" s="60">
        <f>VLOOKUP(I94,'2018 SY O&amp;M Exp'!$A$8:$D$206,4,FALSE)</f>
        <v>1940017.1900000004</v>
      </c>
      <c r="D94" s="60">
        <f>-C94</f>
        <v>-1940017.1900000004</v>
      </c>
      <c r="E94" s="60">
        <f t="shared" si="13"/>
        <v>0</v>
      </c>
      <c r="F94" s="60"/>
      <c r="G94" s="60">
        <f t="shared" si="14"/>
        <v>0</v>
      </c>
      <c r="I94" s="3" t="str">
        <f t="shared" si="7"/>
        <v>INC265120</v>
      </c>
    </row>
    <row r="95" spans="1:9" ht="9.75">
      <c r="A95" s="83" t="s">
        <v>92</v>
      </c>
      <c r="B95" s="59" t="str">
        <f>VLOOKUP(I95,'2018 SY O&amp;M Exp'!$A$8:$F$206,6,FALSE)</f>
        <v>565</v>
      </c>
      <c r="C95" s="60">
        <f>VLOOKUP(I95,'2018 SY O&amp;M Exp'!$A$8:$D$206,4,FALSE)</f>
        <v>1885191.1599999997</v>
      </c>
      <c r="D95" s="60">
        <f>-C95</f>
        <v>-1885191.1599999997</v>
      </c>
      <c r="E95" s="60">
        <f t="shared" si="13"/>
        <v>0</v>
      </c>
      <c r="F95" s="60"/>
      <c r="G95" s="60">
        <f t="shared" si="14"/>
        <v>0</v>
      </c>
      <c r="I95" s="3" t="str">
        <f t="shared" si="7"/>
        <v>INC265130</v>
      </c>
    </row>
    <row r="96" spans="1:9" ht="9.75">
      <c r="A96" s="83" t="s">
        <v>94</v>
      </c>
      <c r="B96" s="59" t="str">
        <f>VLOOKUP(I96,'2018 SY O&amp;M Exp'!$A$8:$F$206,6,FALSE)</f>
        <v>566</v>
      </c>
      <c r="C96" s="60">
        <f>VLOOKUP(I96,'2018 SY O&amp;M Exp'!$A$8:$D$206,4,FALSE)</f>
        <v>4210198.17</v>
      </c>
      <c r="D96" s="60"/>
      <c r="E96" s="60">
        <f t="shared" si="13"/>
        <v>4210198.17</v>
      </c>
      <c r="F96" s="60"/>
      <c r="G96" s="60">
        <f t="shared" si="14"/>
        <v>4210198.17</v>
      </c>
      <c r="I96" s="3" t="str">
        <f t="shared" si="7"/>
        <v>INC266000</v>
      </c>
    </row>
    <row r="97" spans="1:9" ht="9.75">
      <c r="A97" s="83" t="s">
        <v>95</v>
      </c>
      <c r="B97" s="59" t="str">
        <f>VLOOKUP(I97,'2018 SY O&amp;M Exp'!$A$8:$F$206,6,FALSE)</f>
        <v>567</v>
      </c>
      <c r="C97" s="60">
        <f>VLOOKUP(I97,'2018 SY O&amp;M Exp'!$A$8:$D$206,4,FALSE)</f>
        <v>-12000</v>
      </c>
      <c r="D97" s="60"/>
      <c r="E97" s="60">
        <f t="shared" si="13"/>
        <v>-12000</v>
      </c>
      <c r="F97" s="60"/>
      <c r="G97" s="60">
        <f t="shared" si="14"/>
        <v>-12000</v>
      </c>
      <c r="I97" s="3" t="str">
        <f t="shared" si="7"/>
        <v>INC267000</v>
      </c>
    </row>
    <row r="98" spans="1:9" ht="9.75">
      <c r="A98" s="83" t="s">
        <v>96</v>
      </c>
      <c r="B98" s="59" t="str">
        <f>VLOOKUP(I98,'2018 SY O&amp;M Exp'!$A$8:$F$206,6,FALSE)</f>
        <v>568</v>
      </c>
      <c r="C98" s="60">
        <f>VLOOKUP(I98,'2018 SY O&amp;M Exp'!$A$8:$D$206,4,FALSE)</f>
        <v>605679.13</v>
      </c>
      <c r="D98" s="60"/>
      <c r="E98" s="60">
        <f t="shared" si="13"/>
        <v>605679.13</v>
      </c>
      <c r="F98" s="60"/>
      <c r="G98" s="60">
        <f t="shared" si="14"/>
        <v>605679.13</v>
      </c>
      <c r="I98" s="3" t="str">
        <f t="shared" si="7"/>
        <v>INC268010</v>
      </c>
    </row>
    <row r="99" spans="1:9" ht="9.75">
      <c r="A99" s="83" t="s">
        <v>97</v>
      </c>
      <c r="B99" s="59" t="str">
        <f>VLOOKUP(I99,'2018 SY O&amp;M Exp'!$A$8:$F$206,6,FALSE)</f>
        <v>569</v>
      </c>
      <c r="C99" s="60">
        <f>VLOOKUP(I99,'2018 SY O&amp;M Exp'!$A$8:$D$206,4,FALSE)</f>
        <v>4196676.41</v>
      </c>
      <c r="D99" s="60"/>
      <c r="E99" s="60">
        <f t="shared" si="13"/>
        <v>4196676.41</v>
      </c>
      <c r="F99" s="60"/>
      <c r="G99" s="60">
        <f t="shared" si="14"/>
        <v>4196676.41</v>
      </c>
      <c r="I99" s="3" t="str">
        <f t="shared" si="7"/>
        <v>INC269000</v>
      </c>
    </row>
    <row r="100" spans="1:9" ht="9.75">
      <c r="A100" s="83" t="s">
        <v>98</v>
      </c>
      <c r="B100" s="59" t="str">
        <f>VLOOKUP(I100,'2018 SY O&amp;M Exp'!$A$8:$F$206,6,FALSE)</f>
        <v>570</v>
      </c>
      <c r="C100" s="60">
        <f>VLOOKUP(I100,'2018 SY O&amp;M Exp'!$A$8:$D$206,4,FALSE)</f>
        <v>4425864.08</v>
      </c>
      <c r="D100" s="60"/>
      <c r="E100" s="60">
        <f t="shared" si="13"/>
        <v>4425864.08</v>
      </c>
      <c r="F100" s="60"/>
      <c r="G100" s="60">
        <f t="shared" si="14"/>
        <v>4425864.08</v>
      </c>
      <c r="I100" s="3" t="str">
        <f t="shared" si="7"/>
        <v>INC270000</v>
      </c>
    </row>
    <row r="101" spans="1:9" ht="9.75">
      <c r="A101" s="83" t="s">
        <v>100</v>
      </c>
      <c r="B101" s="59" t="str">
        <f>VLOOKUP(I101,'2018 SY O&amp;M Exp'!$A$8:$F$206,6,FALSE)</f>
        <v>570</v>
      </c>
      <c r="C101" s="60">
        <f>VLOOKUP(I101,'2018 SY O&amp;M Exp'!$A$8:$D$206,4,FALSE)</f>
        <v>1126939.97</v>
      </c>
      <c r="D101" s="60">
        <f>-C101</f>
        <v>-1126939.97</v>
      </c>
      <c r="E101" s="60">
        <f t="shared" si="13"/>
        <v>0</v>
      </c>
      <c r="F101" s="60"/>
      <c r="G101" s="60">
        <f t="shared" si="14"/>
        <v>0</v>
      </c>
      <c r="I101" s="3" t="str">
        <f t="shared" si="7"/>
        <v>INC270020</v>
      </c>
    </row>
    <row r="102" spans="1:9" ht="9.75">
      <c r="A102" s="83" t="s">
        <v>101</v>
      </c>
      <c r="B102" s="59" t="str">
        <f>VLOOKUP(I102,'2018 SY O&amp;M Exp'!$A$8:$F$206,6,FALSE)</f>
        <v>571</v>
      </c>
      <c r="C102" s="60">
        <f>VLOOKUP(I102,'2018 SY O&amp;M Exp'!$A$8:$D$206,4,FALSE)</f>
        <v>11739224.52</v>
      </c>
      <c r="D102" s="60"/>
      <c r="E102" s="60">
        <f t="shared" si="13"/>
        <v>11739224.52</v>
      </c>
      <c r="F102" s="60"/>
      <c r="G102" s="60">
        <f t="shared" si="14"/>
        <v>11739224.52</v>
      </c>
      <c r="I102" s="3" t="str">
        <f t="shared" si="7"/>
        <v>INC271000</v>
      </c>
    </row>
    <row r="103" spans="1:9" ht="9.75">
      <c r="A103" s="83" t="s">
        <v>102</v>
      </c>
      <c r="B103" s="59" t="str">
        <f>VLOOKUP(I103,'2018 SY O&amp;M Exp'!$A$8:$F$206,6,FALSE)</f>
        <v>572</v>
      </c>
      <c r="C103" s="60">
        <f>VLOOKUP(I103,'2018 SY O&amp;M Exp'!$A$8:$D$206,4,FALSE)</f>
        <v>1254000</v>
      </c>
      <c r="D103" s="60"/>
      <c r="E103" s="60">
        <f>+C103+D103</f>
        <v>1254000</v>
      </c>
      <c r="F103" s="60"/>
      <c r="G103" s="60">
        <f>+E103+F103</f>
        <v>1254000</v>
      </c>
      <c r="I103" s="3" t="str">
        <f t="shared" si="7"/>
        <v>INC272000</v>
      </c>
    </row>
    <row r="104" spans="1:9" ht="10.5" thickBot="1">
      <c r="A104" s="83" t="s">
        <v>103</v>
      </c>
      <c r="B104" s="59" t="str">
        <f>VLOOKUP(I104,'2018 SY O&amp;M Exp'!$A$8:$F$206,6,FALSE)</f>
        <v>573</v>
      </c>
      <c r="C104" s="60">
        <f>VLOOKUP(I104,'2018 SY O&amp;M Exp'!$A$8:$D$206,4,FALSE)</f>
        <v>667497.7999999998</v>
      </c>
      <c r="D104" s="61"/>
      <c r="E104" s="61">
        <f t="shared" si="13"/>
        <v>667497.7999999998</v>
      </c>
      <c r="F104" s="61"/>
      <c r="G104" s="61">
        <f t="shared" si="14"/>
        <v>667497.7999999998</v>
      </c>
      <c r="I104" s="3" t="str">
        <f t="shared" si="7"/>
        <v>INC273000</v>
      </c>
    </row>
    <row r="105" spans="1:9" ht="9.75">
      <c r="A105" s="83" t="s">
        <v>104</v>
      </c>
      <c r="B105" s="59"/>
      <c r="C105" s="60">
        <f>SUM(C89:C104)</f>
        <v>73060370.03</v>
      </c>
      <c r="D105" s="60">
        <f>SUM(D89:D104)</f>
        <v>-4952148.32</v>
      </c>
      <c r="E105" s="60">
        <f>SUM(E89:E104)</f>
        <v>68108221.71000001</v>
      </c>
      <c r="F105" s="60">
        <f>SUM(F89:F104)</f>
        <v>-18911182.470000003</v>
      </c>
      <c r="G105" s="70">
        <f>SUM(G89:G104)</f>
        <v>49197039.239999995</v>
      </c>
      <c r="I105" s="3" t="str">
        <f t="shared" si="7"/>
        <v>      SUB</v>
      </c>
    </row>
    <row r="106" spans="1:9" ht="9.75">
      <c r="A106" s="83"/>
      <c r="B106" s="59"/>
      <c r="C106" s="60"/>
      <c r="D106" s="60"/>
      <c r="E106" s="60"/>
      <c r="F106" s="60"/>
      <c r="G106" s="60"/>
      <c r="I106" s="3">
        <f t="shared" si="7"/>
      </c>
    </row>
    <row r="107" spans="1:9" ht="10.5" thickBot="1">
      <c r="A107" s="84" t="s">
        <v>105</v>
      </c>
      <c r="B107" s="59"/>
      <c r="C107" s="60"/>
      <c r="D107" s="60"/>
      <c r="E107" s="60"/>
      <c r="F107" s="60"/>
      <c r="G107" s="60"/>
      <c r="I107" s="3" t="str">
        <f t="shared" si="7"/>
        <v>DISTRIBUT</v>
      </c>
    </row>
    <row r="108" spans="1:9" ht="9.75">
      <c r="A108" s="83" t="s">
        <v>106</v>
      </c>
      <c r="B108" s="59" t="str">
        <f>VLOOKUP(I108,'2018 SY O&amp;M Exp'!$A$8:$F$206,6,FALSE)</f>
        <v>580</v>
      </c>
      <c r="C108" s="60">
        <f>VLOOKUP(I108,'2018 SY O&amp;M Exp'!$A$8:$D$206,4,FALSE)</f>
        <v>22178624.26</v>
      </c>
      <c r="D108" s="60"/>
      <c r="E108" s="60">
        <f aca="true" t="shared" si="15" ref="E108:E129">+C108+D108</f>
        <v>22178624.26</v>
      </c>
      <c r="F108" s="60"/>
      <c r="G108" s="60">
        <f aca="true" t="shared" si="16" ref="G108:G129">+E108+F108</f>
        <v>22178624.26</v>
      </c>
      <c r="I108" s="3" t="str">
        <f t="shared" si="7"/>
        <v>INC380000</v>
      </c>
    </row>
    <row r="109" spans="1:9" ht="9.75">
      <c r="A109" s="83" t="s">
        <v>107</v>
      </c>
      <c r="B109" s="59" t="str">
        <f>VLOOKUP(I109,'2018 SY O&amp;M Exp'!$A$8:$F$206,6,FALSE)</f>
        <v>581</v>
      </c>
      <c r="C109" s="60">
        <f>VLOOKUP(I109,'2018 SY O&amp;M Exp'!$A$8:$D$206,4,FALSE)</f>
        <v>5995483.25</v>
      </c>
      <c r="D109" s="60"/>
      <c r="E109" s="60">
        <f t="shared" si="15"/>
        <v>5995483.25</v>
      </c>
      <c r="F109" s="60"/>
      <c r="G109" s="60">
        <f t="shared" si="16"/>
        <v>5995483.25</v>
      </c>
      <c r="I109" s="3" t="str">
        <f t="shared" si="7"/>
        <v>INC381000</v>
      </c>
    </row>
    <row r="110" spans="1:9" ht="9.75">
      <c r="A110" s="83" t="s">
        <v>108</v>
      </c>
      <c r="B110" s="59" t="str">
        <f>VLOOKUP(I110,'2018 SY O&amp;M Exp'!$A$8:$F$206,6,FALSE)</f>
        <v>582</v>
      </c>
      <c r="C110" s="60">
        <f>VLOOKUP(I110,'2018 SY O&amp;M Exp'!$A$8:$D$206,4,FALSE)</f>
        <v>2650228.1000000006</v>
      </c>
      <c r="D110" s="60"/>
      <c r="E110" s="60">
        <f t="shared" si="15"/>
        <v>2650228.1000000006</v>
      </c>
      <c r="F110" s="60"/>
      <c r="G110" s="60">
        <f t="shared" si="16"/>
        <v>2650228.1000000006</v>
      </c>
      <c r="I110" s="3" t="str">
        <f t="shared" si="7"/>
        <v>INC382000</v>
      </c>
    </row>
    <row r="111" spans="1:9" ht="9.75">
      <c r="A111" s="83" t="s">
        <v>109</v>
      </c>
      <c r="B111" s="59" t="str">
        <f>VLOOKUP(I111,'2018 SY O&amp;M Exp'!$A$8:$F$206,6,FALSE)</f>
        <v>583</v>
      </c>
      <c r="C111" s="60">
        <f>VLOOKUP(I111,'2018 SY O&amp;M Exp'!$A$8:$D$206,4,FALSE)</f>
        <v>14872852.460000036</v>
      </c>
      <c r="D111" s="60"/>
      <c r="E111" s="60">
        <f t="shared" si="15"/>
        <v>14872852.460000036</v>
      </c>
      <c r="F111" s="60"/>
      <c r="G111" s="60">
        <f t="shared" si="16"/>
        <v>14872852.460000036</v>
      </c>
      <c r="I111" s="3" t="str">
        <f t="shared" si="7"/>
        <v>INC383000</v>
      </c>
    </row>
    <row r="112" spans="1:9" ht="9.75">
      <c r="A112" s="83" t="s">
        <v>110</v>
      </c>
      <c r="B112" s="59" t="str">
        <f>VLOOKUP(I112,'2018 SY O&amp;M Exp'!$A$8:$F$206,6,FALSE)</f>
        <v>584</v>
      </c>
      <c r="C112" s="60">
        <f>VLOOKUP(I112,'2018 SY O&amp;M Exp'!$A$8:$D$206,4,FALSE)</f>
        <v>6436904.519999996</v>
      </c>
      <c r="D112" s="60"/>
      <c r="E112" s="60">
        <f t="shared" si="15"/>
        <v>6436904.519999996</v>
      </c>
      <c r="F112" s="60"/>
      <c r="G112" s="60">
        <f t="shared" si="16"/>
        <v>6436904.519999996</v>
      </c>
      <c r="I112" s="3" t="str">
        <f t="shared" si="7"/>
        <v>INC384000</v>
      </c>
    </row>
    <row r="113" spans="1:9" ht="9.75">
      <c r="A113" s="83" t="s">
        <v>317</v>
      </c>
      <c r="B113" s="59" t="str">
        <f>VLOOKUP(I113,'2018 SY O&amp;M Exp'!$A$8:$F$206,6,FALSE)</f>
        <v>585</v>
      </c>
      <c r="C113" s="60">
        <f>VLOOKUP(I113,'2018 SY O&amp;M Exp'!$A$8:$D$206,4,FALSE)</f>
        <v>267111.12</v>
      </c>
      <c r="D113" s="60"/>
      <c r="E113" s="60">
        <f t="shared" si="15"/>
        <v>267111.12</v>
      </c>
      <c r="F113" s="60"/>
      <c r="G113" s="60">
        <f t="shared" si="16"/>
        <v>267111.12</v>
      </c>
      <c r="I113" s="3" t="str">
        <f t="shared" si="7"/>
        <v>INC385000</v>
      </c>
    </row>
    <row r="114" spans="1:9" ht="9.75">
      <c r="A114" s="83" t="s">
        <v>112</v>
      </c>
      <c r="B114" s="59" t="str">
        <f>VLOOKUP(I114,'2018 SY O&amp;M Exp'!$A$8:$F$206,6,FALSE)</f>
        <v>586</v>
      </c>
      <c r="C114" s="60">
        <f>VLOOKUP(I114,'2018 SY O&amp;M Exp'!$A$8:$D$206,4,FALSE)</f>
        <v>4059443.1</v>
      </c>
      <c r="D114" s="60"/>
      <c r="E114" s="60">
        <f t="shared" si="15"/>
        <v>4059443.1</v>
      </c>
      <c r="F114" s="60"/>
      <c r="G114" s="60">
        <f t="shared" si="16"/>
        <v>4059443.1</v>
      </c>
      <c r="I114" s="3" t="str">
        <f t="shared" si="7"/>
        <v>INC386000</v>
      </c>
    </row>
    <row r="115" spans="1:9" ht="9.75">
      <c r="A115" s="83" t="s">
        <v>113</v>
      </c>
      <c r="B115" s="59" t="str">
        <f>VLOOKUP(I115,'2018 SY O&amp;M Exp'!$A$8:$F$206,6,FALSE)</f>
        <v>587</v>
      </c>
      <c r="C115" s="60">
        <f>VLOOKUP(I115,'2018 SY O&amp;M Exp'!$A$8:$D$206,4,FALSE)</f>
        <v>2524805.9500000007</v>
      </c>
      <c r="D115" s="60"/>
      <c r="E115" s="60">
        <f t="shared" si="15"/>
        <v>2524805.9500000007</v>
      </c>
      <c r="F115" s="60"/>
      <c r="G115" s="60">
        <f t="shared" si="16"/>
        <v>2524805.9500000007</v>
      </c>
      <c r="I115" s="3" t="str">
        <f t="shared" si="7"/>
        <v>INC387000</v>
      </c>
    </row>
    <row r="116" spans="1:9" ht="9.75">
      <c r="A116" s="83" t="s">
        <v>114</v>
      </c>
      <c r="B116" s="59" t="str">
        <f>VLOOKUP(I116,'2018 SY O&amp;M Exp'!$A$8:$F$206,6,FALSE)</f>
        <v>587</v>
      </c>
      <c r="C116" s="60">
        <f>VLOOKUP(I116,'2018 SY O&amp;M Exp'!$A$8:$D$206,4,FALSE)</f>
        <v>1538519.3600000003</v>
      </c>
      <c r="D116" s="60">
        <f>-C116</f>
        <v>-1538519.3600000003</v>
      </c>
      <c r="E116" s="60">
        <f t="shared" si="15"/>
        <v>0</v>
      </c>
      <c r="F116" s="60"/>
      <c r="G116" s="60">
        <f t="shared" si="16"/>
        <v>0</v>
      </c>
      <c r="I116" s="3" t="str">
        <f t="shared" si="7"/>
        <v>INC387010</v>
      </c>
    </row>
    <row r="117" spans="1:9" ht="9.75">
      <c r="A117" s="83" t="s">
        <v>115</v>
      </c>
      <c r="B117" s="59" t="str">
        <f>VLOOKUP(I117,'2018 SY O&amp;M Exp'!$A$8:$F$206,6,FALSE)</f>
        <v>588</v>
      </c>
      <c r="C117" s="60">
        <f>VLOOKUP(I117,'2018 SY O&amp;M Exp'!$A$8:$D$206,4,FALSE)</f>
        <v>42803122.00999999</v>
      </c>
      <c r="D117" s="60"/>
      <c r="E117" s="60">
        <f t="shared" si="15"/>
        <v>42803122.00999999</v>
      </c>
      <c r="F117" s="60"/>
      <c r="G117" s="60">
        <f t="shared" si="16"/>
        <v>42803122.00999999</v>
      </c>
      <c r="I117" s="3" t="str">
        <f t="shared" si="7"/>
        <v>INC388000</v>
      </c>
    </row>
    <row r="118" spans="1:9" ht="9.75">
      <c r="A118" s="83" t="s">
        <v>116</v>
      </c>
      <c r="B118" s="59" t="str">
        <f>VLOOKUP(I118,'2018 SY O&amp;M Exp'!$A$8:$F$206,6,FALSE)</f>
        <v>589</v>
      </c>
      <c r="C118" s="60">
        <f>VLOOKUP(I118,'2018 SY O&amp;M Exp'!$A$8:$D$206,4,FALSE)</f>
        <v>10622000</v>
      </c>
      <c r="D118" s="60"/>
      <c r="E118" s="60">
        <f t="shared" si="15"/>
        <v>10622000</v>
      </c>
      <c r="F118" s="60"/>
      <c r="G118" s="60">
        <f t="shared" si="16"/>
        <v>10622000</v>
      </c>
      <c r="I118" s="3" t="str">
        <f t="shared" si="7"/>
        <v>INC389000</v>
      </c>
    </row>
    <row r="119" spans="1:9" ht="9.75">
      <c r="A119" s="83" t="s">
        <v>318</v>
      </c>
      <c r="B119" s="59" t="str">
        <f>VLOOKUP(I119,'2018 SY O&amp;M Exp'!$A$8:$F$206,6,FALSE)</f>
        <v>590</v>
      </c>
      <c r="C119" s="60">
        <f>VLOOKUP(I119,'2018 SY O&amp;M Exp'!$A$8:$D$206,4,FALSE)</f>
        <v>16598421.670000004</v>
      </c>
      <c r="D119" s="60"/>
      <c r="E119" s="60">
        <f t="shared" si="15"/>
        <v>16598421.670000004</v>
      </c>
      <c r="F119" s="60"/>
      <c r="G119" s="60">
        <f t="shared" si="16"/>
        <v>16598421.670000004</v>
      </c>
      <c r="I119" s="3" t="str">
        <f t="shared" si="7"/>
        <v>INC390000</v>
      </c>
    </row>
    <row r="120" spans="1:9" ht="9.75">
      <c r="A120" s="83" t="s">
        <v>319</v>
      </c>
      <c r="B120" s="59" t="str">
        <f>VLOOKUP(I120,'2018 SY O&amp;M Exp'!$A$8:$F$206,6,FALSE)</f>
        <v>590</v>
      </c>
      <c r="C120" s="60">
        <f>VLOOKUP(I120,'2018 SY O&amp;M Exp'!$A$8:$D$206,4,FALSE)</f>
        <v>1283227.21</v>
      </c>
      <c r="D120" s="60">
        <f>-C120</f>
        <v>-1283227.21</v>
      </c>
      <c r="E120" s="60">
        <f t="shared" si="15"/>
        <v>0</v>
      </c>
      <c r="F120" s="60"/>
      <c r="G120" s="60">
        <f t="shared" si="16"/>
        <v>0</v>
      </c>
      <c r="I120" s="3" t="str">
        <f t="shared" si="7"/>
        <v>INC390010</v>
      </c>
    </row>
    <row r="121" spans="1:9" ht="9.75">
      <c r="A121" s="83" t="s">
        <v>119</v>
      </c>
      <c r="B121" s="59" t="str">
        <f>VLOOKUP(I121,'2018 SY O&amp;M Exp'!$A$8:$F$206,6,FALSE)</f>
        <v>591</v>
      </c>
      <c r="C121" s="60">
        <f>VLOOKUP(I121,'2018 SY O&amp;M Exp'!$A$8:$D$206,4,FALSE)</f>
        <v>0</v>
      </c>
      <c r="D121" s="60"/>
      <c r="E121" s="60">
        <f t="shared" si="15"/>
        <v>0</v>
      </c>
      <c r="F121" s="60"/>
      <c r="G121" s="60">
        <f t="shared" si="16"/>
        <v>0</v>
      </c>
      <c r="I121" s="3" t="str">
        <f t="shared" si="7"/>
        <v>INC391000</v>
      </c>
    </row>
    <row r="122" spans="1:9" ht="9.75">
      <c r="A122" s="83" t="s">
        <v>120</v>
      </c>
      <c r="B122" s="59" t="str">
        <f>VLOOKUP(I122,'2018 SY O&amp;M Exp'!$A$8:$F$206,6,FALSE)</f>
        <v>592</v>
      </c>
      <c r="C122" s="60">
        <f>VLOOKUP(I122,'2018 SY O&amp;M Exp'!$A$8:$D$206,4,FALSE)</f>
        <v>11037854.910000006</v>
      </c>
      <c r="D122" s="60"/>
      <c r="E122" s="60">
        <f t="shared" si="15"/>
        <v>11037854.910000006</v>
      </c>
      <c r="F122" s="60"/>
      <c r="G122" s="60">
        <f t="shared" si="16"/>
        <v>11037854.910000006</v>
      </c>
      <c r="I122" s="3" t="str">
        <f t="shared" si="7"/>
        <v>INC392000</v>
      </c>
    </row>
    <row r="123" spans="1:9" ht="9.75">
      <c r="A123" s="83" t="s">
        <v>121</v>
      </c>
      <c r="B123" s="59" t="str">
        <f>VLOOKUP(I123,'2018 SY O&amp;M Exp'!$A$8:$F$206,6,FALSE)</f>
        <v>592</v>
      </c>
      <c r="C123" s="60">
        <f>VLOOKUP(I123,'2018 SY O&amp;M Exp'!$A$8:$D$206,4,FALSE)</f>
        <v>3187619.4600000004</v>
      </c>
      <c r="D123" s="60">
        <f>-C123</f>
        <v>-3187619.4600000004</v>
      </c>
      <c r="E123" s="60">
        <f t="shared" si="15"/>
        <v>0</v>
      </c>
      <c r="F123" s="60"/>
      <c r="G123" s="60">
        <f t="shared" si="16"/>
        <v>0</v>
      </c>
      <c r="I123" s="3" t="str">
        <f t="shared" si="7"/>
        <v>INC392010</v>
      </c>
    </row>
    <row r="124" spans="1:9" ht="9.75">
      <c r="A124" s="83" t="s">
        <v>122</v>
      </c>
      <c r="B124" s="59" t="str">
        <f>VLOOKUP(I124,'2018 SY O&amp;M Exp'!$A$8:$F$206,6,FALSE)</f>
        <v>593</v>
      </c>
      <c r="C124" s="60">
        <f>VLOOKUP(I124,'2018 SY O&amp;M Exp'!$A$8:$D$206,4,FALSE)</f>
        <v>127045723.69999997</v>
      </c>
      <c r="D124" s="60"/>
      <c r="E124" s="60">
        <f t="shared" si="15"/>
        <v>127045723.69999997</v>
      </c>
      <c r="F124" s="60"/>
      <c r="G124" s="60">
        <f t="shared" si="16"/>
        <v>127045723.69999997</v>
      </c>
      <c r="I124" s="3" t="str">
        <f aca="true" t="shared" si="17" ref="I124:I179">LEFT(A124,9)</f>
        <v>INC393000</v>
      </c>
    </row>
    <row r="125" spans="1:9" ht="9.75">
      <c r="A125" s="83" t="s">
        <v>123</v>
      </c>
      <c r="B125" s="59" t="str">
        <f>VLOOKUP(I125,'2018 SY O&amp;M Exp'!$A$8:$F$206,6,FALSE)</f>
        <v>594</v>
      </c>
      <c r="C125" s="60">
        <f>VLOOKUP(I125,'2018 SY O&amp;M Exp'!$A$8:$D$206,4,FALSE)</f>
        <v>28531696.43000002</v>
      </c>
      <c r="D125" s="60"/>
      <c r="E125" s="60">
        <f t="shared" si="15"/>
        <v>28531696.43000002</v>
      </c>
      <c r="F125" s="60"/>
      <c r="G125" s="60">
        <f t="shared" si="16"/>
        <v>28531696.43000002</v>
      </c>
      <c r="I125" s="3" t="str">
        <f t="shared" si="17"/>
        <v>INC394000</v>
      </c>
    </row>
    <row r="126" spans="1:9" ht="9.75">
      <c r="A126" s="83" t="s">
        <v>124</v>
      </c>
      <c r="B126" s="59" t="str">
        <f>VLOOKUP(I126,'2018 SY O&amp;M Exp'!$A$8:$F$206,6,FALSE)</f>
        <v>595</v>
      </c>
      <c r="C126" s="60">
        <f>VLOOKUP(I126,'2018 SY O&amp;M Exp'!$A$8:$D$206,4,FALSE)</f>
        <v>-0.9100000000000004</v>
      </c>
      <c r="D126" s="60"/>
      <c r="E126" s="60">
        <f t="shared" si="15"/>
        <v>-0.9100000000000004</v>
      </c>
      <c r="F126" s="60"/>
      <c r="G126" s="60">
        <f t="shared" si="16"/>
        <v>-0.9100000000000004</v>
      </c>
      <c r="I126" s="3" t="str">
        <f t="shared" si="17"/>
        <v>INC395000</v>
      </c>
    </row>
    <row r="127" spans="1:9" ht="9.75">
      <c r="A127" s="83" t="s">
        <v>320</v>
      </c>
      <c r="B127" s="59" t="str">
        <f>VLOOKUP(I127,'2018 SY O&amp;M Exp'!$A$8:$F$206,6,FALSE)</f>
        <v>596</v>
      </c>
      <c r="C127" s="60">
        <f>VLOOKUP(I127,'2018 SY O&amp;M Exp'!$A$8:$D$206,4,FALSE)</f>
        <v>11802670.370000014</v>
      </c>
      <c r="D127" s="60"/>
      <c r="E127" s="60">
        <f t="shared" si="15"/>
        <v>11802670.370000014</v>
      </c>
      <c r="F127" s="60"/>
      <c r="G127" s="60">
        <f t="shared" si="16"/>
        <v>11802670.370000014</v>
      </c>
      <c r="I127" s="3" t="str">
        <f t="shared" si="17"/>
        <v>INC396000</v>
      </c>
    </row>
    <row r="128" spans="1:9" ht="9.75">
      <c r="A128" s="83" t="s">
        <v>126</v>
      </c>
      <c r="B128" s="59" t="str">
        <f>VLOOKUP(I128,'2018 SY O&amp;M Exp'!$A$8:$F$206,6,FALSE)</f>
        <v>597</v>
      </c>
      <c r="C128" s="60">
        <f>VLOOKUP(I128,'2018 SY O&amp;M Exp'!$A$8:$D$206,4,FALSE)</f>
        <v>4142111.789999999</v>
      </c>
      <c r="D128" s="60"/>
      <c r="E128" s="60">
        <f t="shared" si="15"/>
        <v>4142111.789999999</v>
      </c>
      <c r="F128" s="60"/>
      <c r="G128" s="60">
        <f t="shared" si="16"/>
        <v>4142111.789999999</v>
      </c>
      <c r="I128" s="3" t="str">
        <f t="shared" si="17"/>
        <v>INC397000</v>
      </c>
    </row>
    <row r="129" spans="1:9" ht="10.5" thickBot="1">
      <c r="A129" s="83" t="s">
        <v>321</v>
      </c>
      <c r="B129" s="59" t="str">
        <f>VLOOKUP(I129,'2018 SY O&amp;M Exp'!$A$8:$F$206,6,FALSE)</f>
        <v>598</v>
      </c>
      <c r="C129" s="60">
        <f>VLOOKUP(I129,'2018 SY O&amp;M Exp'!$A$8:$D$206,4,FALSE)</f>
        <v>5635928.350000008</v>
      </c>
      <c r="D129" s="61"/>
      <c r="E129" s="61">
        <f t="shared" si="15"/>
        <v>5635928.350000008</v>
      </c>
      <c r="F129" s="61"/>
      <c r="G129" s="61">
        <f t="shared" si="16"/>
        <v>5635928.350000008</v>
      </c>
      <c r="I129" s="3" t="str">
        <f t="shared" si="17"/>
        <v>INC398000</v>
      </c>
    </row>
    <row r="130" spans="1:9" ht="9.75">
      <c r="A130" s="83" t="s">
        <v>128</v>
      </c>
      <c r="B130" s="59"/>
      <c r="C130" s="60">
        <f>SUM(C108:C129)</f>
        <v>323214347.11</v>
      </c>
      <c r="D130" s="60">
        <f>SUM(D108:D129)</f>
        <v>-6009366.030000001</v>
      </c>
      <c r="E130" s="60">
        <f>SUM(E108:E129)</f>
        <v>317204981.08000004</v>
      </c>
      <c r="F130" s="60">
        <f>SUM(F108:F129)</f>
        <v>0</v>
      </c>
      <c r="G130" s="70">
        <f>SUM(G108:G129)</f>
        <v>317204981.08000004</v>
      </c>
      <c r="I130" s="3" t="str">
        <f t="shared" si="17"/>
        <v>      SUB</v>
      </c>
    </row>
    <row r="131" spans="1:9" ht="9.75">
      <c r="A131" s="83"/>
      <c r="B131" s="59"/>
      <c r="C131" s="60"/>
      <c r="D131" s="60"/>
      <c r="E131" s="60"/>
      <c r="F131" s="60"/>
      <c r="G131" s="60"/>
      <c r="I131" s="3">
        <f t="shared" si="17"/>
      </c>
    </row>
    <row r="132" spans="1:9" ht="9.75">
      <c r="A132" s="83"/>
      <c r="B132" s="59"/>
      <c r="C132" s="60"/>
      <c r="D132" s="60"/>
      <c r="E132" s="60"/>
      <c r="F132" s="60"/>
      <c r="G132" s="60"/>
      <c r="I132" s="3">
        <f t="shared" si="17"/>
      </c>
    </row>
    <row r="133" spans="1:9" ht="10.5" thickBot="1">
      <c r="A133" s="84" t="s">
        <v>129</v>
      </c>
      <c r="B133" s="59"/>
      <c r="C133" s="60"/>
      <c r="D133" s="60"/>
      <c r="E133" s="60"/>
      <c r="F133" s="60"/>
      <c r="G133" s="60"/>
      <c r="I133" s="3" t="str">
        <f t="shared" si="17"/>
        <v>CUSTOMER </v>
      </c>
    </row>
    <row r="134" spans="1:9" ht="9.75">
      <c r="A134" s="83" t="s">
        <v>130</v>
      </c>
      <c r="B134" s="59" t="str">
        <f>VLOOKUP(I134,'2018 SY O&amp;M Exp'!$A$8:$F$206,6,FALSE)</f>
        <v>901</v>
      </c>
      <c r="C134" s="60">
        <f>VLOOKUP(I134,'2018 SY O&amp;M Exp'!$A$8:$D$206,4,FALSE)</f>
        <v>6524268.250000001</v>
      </c>
      <c r="D134" s="60"/>
      <c r="E134" s="60">
        <f>+C134+D134</f>
        <v>6524268.250000001</v>
      </c>
      <c r="F134" s="60"/>
      <c r="G134" s="60">
        <f>+E134+F134</f>
        <v>6524268.250000001</v>
      </c>
      <c r="I134" s="3" t="str">
        <f t="shared" si="17"/>
        <v>INC401000</v>
      </c>
    </row>
    <row r="135" spans="1:9" ht="9.75">
      <c r="A135" s="83" t="s">
        <v>131</v>
      </c>
      <c r="B135" s="59" t="str">
        <f>VLOOKUP(I135,'2018 SY O&amp;M Exp'!$A$8:$F$206,6,FALSE)</f>
        <v>902</v>
      </c>
      <c r="C135" s="60">
        <f>VLOOKUP(I135,'2018 SY O&amp;M Exp'!$A$8:$D$206,4,FALSE)</f>
        <v>12109453.75</v>
      </c>
      <c r="D135" s="60"/>
      <c r="E135" s="60">
        <f>+C135+D135</f>
        <v>12109453.75</v>
      </c>
      <c r="F135" s="60"/>
      <c r="G135" s="60">
        <f>+E135+F135</f>
        <v>12109453.75</v>
      </c>
      <c r="I135" s="3" t="str">
        <f t="shared" si="17"/>
        <v>INC402000</v>
      </c>
    </row>
    <row r="136" spans="1:9" ht="9.75">
      <c r="A136" s="83" t="s">
        <v>322</v>
      </c>
      <c r="B136" s="59" t="str">
        <f>VLOOKUP(I136,'2018 SY O&amp;M Exp'!$A$8:$F$206,6,FALSE)</f>
        <v>903</v>
      </c>
      <c r="C136" s="60">
        <f>VLOOKUP(I136,'2018 SY O&amp;M Exp'!$A$8:$D$206,4,FALSE)</f>
        <v>83906718.95000003</v>
      </c>
      <c r="D136" s="60"/>
      <c r="E136" s="60">
        <f>+C136+D136</f>
        <v>83906718.95000003</v>
      </c>
      <c r="F136" s="60"/>
      <c r="G136" s="60">
        <f>+E136+F136</f>
        <v>83906718.95000003</v>
      </c>
      <c r="I136" s="3" t="str">
        <f t="shared" si="17"/>
        <v>INC403000</v>
      </c>
    </row>
    <row r="137" spans="1:9" ht="9.75">
      <c r="A137" s="83" t="s">
        <v>133</v>
      </c>
      <c r="B137" s="59" t="str">
        <f>VLOOKUP(I137,'2018 SY O&amp;M Exp'!$A$8:$F$206,6,FALSE)</f>
        <v>904</v>
      </c>
      <c r="C137" s="60">
        <f>VLOOKUP(I137,'2018 SY O&amp;M Exp'!$A$8:$D$206,4,FALSE)</f>
        <v>7005084.550000001</v>
      </c>
      <c r="D137" s="60"/>
      <c r="E137" s="60">
        <f>+C137+D137</f>
        <v>7005084.550000001</v>
      </c>
      <c r="F137" s="60"/>
      <c r="G137" s="60">
        <f>+E137+F137</f>
        <v>7005084.550000001</v>
      </c>
      <c r="I137" s="3" t="str">
        <f t="shared" si="17"/>
        <v>INC404000</v>
      </c>
    </row>
    <row r="138" spans="1:9" ht="10.5" thickBot="1">
      <c r="A138" s="83" t="s">
        <v>345</v>
      </c>
      <c r="B138" s="59" t="str">
        <f>VLOOKUP(I138,'2018 SY O&amp;M Exp'!$A$8:$F$206,6,FALSE)</f>
        <v>904</v>
      </c>
      <c r="C138" s="60">
        <f>VLOOKUP(I138,'2018 SY O&amp;M Exp'!$A$8:$D$206,4,FALSE)</f>
        <v>106531.84000000001</v>
      </c>
      <c r="D138" s="61">
        <f>-C138</f>
        <v>-106531.84000000001</v>
      </c>
      <c r="E138" s="61">
        <f>+C138+D138</f>
        <v>0</v>
      </c>
      <c r="F138" s="61"/>
      <c r="G138" s="61">
        <f>+E138+F138</f>
        <v>0</v>
      </c>
      <c r="I138" s="3" t="str">
        <f t="shared" si="17"/>
        <v>INC404151</v>
      </c>
    </row>
    <row r="139" spans="1:9" ht="9.75">
      <c r="A139" s="83" t="s">
        <v>136</v>
      </c>
      <c r="B139" s="59"/>
      <c r="C139" s="60">
        <f>SUM(C134:C138)</f>
        <v>109652057.34000003</v>
      </c>
      <c r="D139" s="60">
        <f>SUM(D134:D138)</f>
        <v>-106531.84000000001</v>
      </c>
      <c r="E139" s="60">
        <f>SUM(E134:E138)</f>
        <v>109545525.50000003</v>
      </c>
      <c r="F139" s="60">
        <f>SUM(F134:F138)</f>
        <v>0</v>
      </c>
      <c r="G139" s="70">
        <f>SUM(G134:G138)</f>
        <v>109545525.50000003</v>
      </c>
      <c r="I139" s="3" t="str">
        <f t="shared" si="17"/>
        <v>      SUB</v>
      </c>
    </row>
    <row r="140" spans="1:9" ht="9.75">
      <c r="A140" s="83"/>
      <c r="B140" s="59"/>
      <c r="C140" s="60"/>
      <c r="D140" s="60"/>
      <c r="E140" s="60"/>
      <c r="F140" s="60"/>
      <c r="G140" s="60"/>
      <c r="I140" s="3">
        <f t="shared" si="17"/>
      </c>
    </row>
    <row r="141" spans="1:9" ht="9.75">
      <c r="A141" s="83"/>
      <c r="B141" s="59"/>
      <c r="C141" s="60"/>
      <c r="D141" s="60"/>
      <c r="E141" s="60"/>
      <c r="F141" s="60"/>
      <c r="G141" s="60"/>
      <c r="I141" s="3">
        <f t="shared" si="17"/>
      </c>
    </row>
    <row r="142" spans="1:9" ht="10.5" thickBot="1">
      <c r="A142" s="84" t="s">
        <v>137</v>
      </c>
      <c r="B142" s="59"/>
      <c r="C142" s="60"/>
      <c r="D142" s="60"/>
      <c r="E142" s="60"/>
      <c r="F142" s="60"/>
      <c r="G142" s="60"/>
      <c r="I142" s="3" t="str">
        <f t="shared" si="17"/>
        <v>CUSTOMER </v>
      </c>
    </row>
    <row r="143" spans="1:9" ht="9.75">
      <c r="A143" s="83" t="s">
        <v>138</v>
      </c>
      <c r="B143" s="59" t="str">
        <f>VLOOKUP(I143,'2018 SY O&amp;M Exp'!$A$8:$F$206,6,FALSE)</f>
        <v>907</v>
      </c>
      <c r="C143" s="60">
        <f>VLOOKUP(I143,'2018 SY O&amp;M Exp'!$A$8:$D$206,4,FALSE)</f>
        <v>2968640.69</v>
      </c>
      <c r="D143" s="60"/>
      <c r="E143" s="60">
        <f aca="true" t="shared" si="18" ref="E143:E149">+C143+D143</f>
        <v>2968640.69</v>
      </c>
      <c r="F143" s="60"/>
      <c r="G143" s="60">
        <f aca="true" t="shared" si="19" ref="G143:G149">+E143+F143</f>
        <v>2968640.69</v>
      </c>
      <c r="I143" s="3" t="str">
        <f t="shared" si="17"/>
        <v>INC407000</v>
      </c>
    </row>
    <row r="144" spans="1:9" ht="9.75">
      <c r="A144" s="83" t="s">
        <v>323</v>
      </c>
      <c r="B144" s="59" t="str">
        <f>VLOOKUP(I144,'2018 SY O&amp;M Exp'!$A$8:$F$206,6,FALSE)</f>
        <v>907</v>
      </c>
      <c r="C144" s="60">
        <f>VLOOKUP(I144,'2018 SY O&amp;M Exp'!$A$8:$D$206,4,FALSE)</f>
        <v>5401976.2</v>
      </c>
      <c r="D144" s="60">
        <f>-C144</f>
        <v>-5401976.2</v>
      </c>
      <c r="E144" s="60">
        <f t="shared" si="18"/>
        <v>0</v>
      </c>
      <c r="F144" s="60"/>
      <c r="G144" s="60">
        <f t="shared" si="19"/>
        <v>0</v>
      </c>
      <c r="I144" s="3" t="str">
        <f t="shared" si="17"/>
        <v>INC407100</v>
      </c>
    </row>
    <row r="145" spans="1:9" ht="9.75">
      <c r="A145" s="83" t="s">
        <v>140</v>
      </c>
      <c r="B145" s="59" t="str">
        <f>VLOOKUP(I145,'2018 SY O&amp;M Exp'!$A$8:$F$206,6,FALSE)</f>
        <v>908</v>
      </c>
      <c r="C145" s="60">
        <f>VLOOKUP(I145,'2018 SY O&amp;M Exp'!$A$8:$D$206,4,FALSE)</f>
        <v>2474392.62</v>
      </c>
      <c r="D145" s="60"/>
      <c r="E145" s="60">
        <f t="shared" si="18"/>
        <v>2474392.62</v>
      </c>
      <c r="F145" s="60"/>
      <c r="G145" s="60">
        <f t="shared" si="19"/>
        <v>2474392.62</v>
      </c>
      <c r="I145" s="3" t="str">
        <f t="shared" si="17"/>
        <v>INC408000</v>
      </c>
    </row>
    <row r="146" spans="1:9" ht="9.75">
      <c r="A146" s="83" t="s">
        <v>324</v>
      </c>
      <c r="B146" s="59" t="str">
        <f>VLOOKUP(I146,'2018 SY O&amp;M Exp'!$A$8:$F$206,6,FALSE)</f>
        <v>908</v>
      </c>
      <c r="C146" s="60">
        <f>VLOOKUP(I146,'2018 SY O&amp;M Exp'!$A$8:$D$206,4,FALSE)</f>
        <v>34758159.00999999</v>
      </c>
      <c r="D146" s="60">
        <f>-C146</f>
        <v>-34758159.00999999</v>
      </c>
      <c r="E146" s="60">
        <f t="shared" si="18"/>
        <v>0</v>
      </c>
      <c r="F146" s="60"/>
      <c r="G146" s="60">
        <f t="shared" si="19"/>
        <v>0</v>
      </c>
      <c r="I146" s="3" t="str">
        <f t="shared" si="17"/>
        <v>INC408100</v>
      </c>
    </row>
    <row r="147" spans="1:9" ht="9.75">
      <c r="A147" s="83" t="s">
        <v>142</v>
      </c>
      <c r="B147" s="59" t="str">
        <f>VLOOKUP(I147,'2018 SY O&amp;M Exp'!$A$8:$F$206,6,FALSE)</f>
        <v>909</v>
      </c>
      <c r="C147" s="60">
        <f>VLOOKUP(I147,'2018 SY O&amp;M Exp'!$A$8:$D$206,4,FALSE)</f>
        <v>82829.72</v>
      </c>
      <c r="D147" s="60"/>
      <c r="E147" s="60">
        <f>+C147+D147</f>
        <v>82829.72</v>
      </c>
      <c r="F147" s="60"/>
      <c r="G147" s="60">
        <f t="shared" si="19"/>
        <v>82829.72</v>
      </c>
      <c r="I147" s="3" t="str">
        <f t="shared" si="17"/>
        <v>INC409000</v>
      </c>
    </row>
    <row r="148" spans="1:9" ht="9.75">
      <c r="A148" s="83" t="s">
        <v>143</v>
      </c>
      <c r="B148" s="59" t="str">
        <f>VLOOKUP(I148,'2018 SY O&amp;M Exp'!$A$8:$F$206,6,FALSE)</f>
        <v>909</v>
      </c>
      <c r="C148" s="60">
        <f>VLOOKUP(I148,'2018 SY O&amp;M Exp'!$A$8:$D$206,4,FALSE)</f>
        <v>8789196.55</v>
      </c>
      <c r="D148" s="60">
        <f>-C148</f>
        <v>-8789196.55</v>
      </c>
      <c r="E148" s="60">
        <f t="shared" si="18"/>
        <v>0</v>
      </c>
      <c r="F148" s="60"/>
      <c r="G148" s="60">
        <f t="shared" si="19"/>
        <v>0</v>
      </c>
      <c r="I148" s="3" t="str">
        <f t="shared" si="17"/>
        <v>INC409100</v>
      </c>
    </row>
    <row r="149" spans="1:9" ht="9.75">
      <c r="A149" s="83" t="s">
        <v>144</v>
      </c>
      <c r="B149" s="59" t="str">
        <f>VLOOKUP(I149,'2018 SY O&amp;M Exp'!$A$8:$F$206,6,FALSE)</f>
        <v>910</v>
      </c>
      <c r="C149" s="60">
        <f>VLOOKUP(I149,'2018 SY O&amp;M Exp'!$A$8:$D$206,4,FALSE)</f>
        <v>7939478.300000001</v>
      </c>
      <c r="D149" s="60"/>
      <c r="E149" s="60">
        <f t="shared" si="18"/>
        <v>7939478.300000001</v>
      </c>
      <c r="F149" s="60"/>
      <c r="G149" s="60">
        <f t="shared" si="19"/>
        <v>7939478.300000001</v>
      </c>
      <c r="I149" s="3" t="str">
        <f t="shared" si="17"/>
        <v>INC410000</v>
      </c>
    </row>
    <row r="150" spans="1:9" ht="10.5" thickBot="1">
      <c r="A150" s="83" t="s">
        <v>325</v>
      </c>
      <c r="B150" s="59" t="str">
        <f>VLOOKUP(I150,'2018 SY O&amp;M Exp'!$A$8:$F$206,6,FALSE)</f>
        <v>910</v>
      </c>
      <c r="C150" s="60">
        <f>VLOOKUP(I150,'2018 SY O&amp;M Exp'!$A$8:$D$206,4,FALSE)</f>
        <v>3191613.83</v>
      </c>
      <c r="D150" s="61">
        <f>-C150</f>
        <v>-3191613.83</v>
      </c>
      <c r="E150" s="61">
        <f>+C150+D150</f>
        <v>0</v>
      </c>
      <c r="F150" s="61"/>
      <c r="G150" s="61">
        <f>+E150+F150</f>
        <v>0</v>
      </c>
      <c r="I150" s="3" t="str">
        <f t="shared" si="17"/>
        <v>INC410100</v>
      </c>
    </row>
    <row r="151" spans="1:9" ht="9.75">
      <c r="A151" s="83" t="s">
        <v>146</v>
      </c>
      <c r="B151" s="59"/>
      <c r="C151" s="60">
        <f>SUM(C143:C150)</f>
        <v>65606286.91999999</v>
      </c>
      <c r="D151" s="60">
        <f>SUM(D143:D150)</f>
        <v>-52140945.58999999</v>
      </c>
      <c r="E151" s="60">
        <f>SUM(E143:E150)</f>
        <v>13465341.330000002</v>
      </c>
      <c r="F151" s="60">
        <f>SUM(F143:F150)</f>
        <v>0</v>
      </c>
      <c r="G151" s="70">
        <f>SUM(G143:G150)</f>
        <v>13465341.330000002</v>
      </c>
      <c r="I151" s="3" t="str">
        <f t="shared" si="17"/>
        <v>      SUB</v>
      </c>
    </row>
    <row r="152" spans="1:9" ht="9.75">
      <c r="A152" s="83"/>
      <c r="B152" s="59"/>
      <c r="C152" s="60"/>
      <c r="D152" s="60"/>
      <c r="E152" s="60"/>
      <c r="F152" s="60"/>
      <c r="G152" s="60"/>
      <c r="I152" s="3">
        <f t="shared" si="17"/>
      </c>
    </row>
    <row r="153" spans="1:9" ht="10.5" thickBot="1">
      <c r="A153" s="84" t="s">
        <v>147</v>
      </c>
      <c r="B153" s="59"/>
      <c r="C153" s="60"/>
      <c r="D153" s="60"/>
      <c r="E153" s="60"/>
      <c r="F153" s="60"/>
      <c r="G153" s="60"/>
      <c r="I153" s="3" t="str">
        <f t="shared" si="17"/>
        <v>SALES</v>
      </c>
    </row>
    <row r="154" spans="1:9" ht="9.75">
      <c r="A154" s="83" t="s">
        <v>148</v>
      </c>
      <c r="B154" s="59" t="str">
        <f>VLOOKUP(I154,'2018 SY O&amp;M Exp'!$A$8:$F$206,6,FALSE)</f>
        <v>911</v>
      </c>
      <c r="C154" s="60">
        <f>VLOOKUP(I154,'2018 SY O&amp;M Exp'!$A$8:$D$206,4,FALSE)</f>
        <v>0</v>
      </c>
      <c r="D154" s="60"/>
      <c r="E154" s="60">
        <f>+C154+D154</f>
        <v>0</v>
      </c>
      <c r="F154" s="60"/>
      <c r="G154" s="60">
        <f>+E154+F154</f>
        <v>0</v>
      </c>
      <c r="I154" s="3" t="str">
        <f t="shared" si="17"/>
        <v>INC411000</v>
      </c>
    </row>
    <row r="155" spans="1:9" ht="10.5" thickBot="1">
      <c r="A155" s="83" t="s">
        <v>150</v>
      </c>
      <c r="B155" s="59" t="str">
        <f>VLOOKUP(I155,'2018 SY O&amp;M Exp'!$A$8:$F$206,6,FALSE)</f>
        <v>916</v>
      </c>
      <c r="C155" s="60">
        <f>VLOOKUP(I155,'2018 SY O&amp;M Exp'!$A$8:$D$206,4,FALSE)</f>
        <v>15746958.650000002</v>
      </c>
      <c r="D155" s="61"/>
      <c r="E155" s="61">
        <f>+C155+D155</f>
        <v>15746958.650000002</v>
      </c>
      <c r="F155" s="61"/>
      <c r="G155" s="61">
        <f>+E155+F155</f>
        <v>15746958.650000002</v>
      </c>
      <c r="I155" s="3" t="str">
        <f t="shared" si="17"/>
        <v>INC516000</v>
      </c>
    </row>
    <row r="156" spans="1:9" ht="9.75">
      <c r="A156" s="83" t="s">
        <v>151</v>
      </c>
      <c r="B156" s="59"/>
      <c r="C156" s="60">
        <f>SUM(C154:C155)</f>
        <v>15746958.650000002</v>
      </c>
      <c r="D156" s="60">
        <f>SUM(D154:D155)</f>
        <v>0</v>
      </c>
      <c r="E156" s="60">
        <f>SUM(E154:E155)</f>
        <v>15746958.650000002</v>
      </c>
      <c r="F156" s="60">
        <f>SUM(F154:F155)</f>
        <v>0</v>
      </c>
      <c r="G156" s="70">
        <f>SUM(G154:G155)</f>
        <v>15746958.650000002</v>
      </c>
      <c r="I156" s="3" t="str">
        <f t="shared" si="17"/>
        <v>      SUB</v>
      </c>
    </row>
    <row r="157" spans="1:9" ht="9.75">
      <c r="A157" s="83"/>
      <c r="B157" s="59"/>
      <c r="C157" s="60"/>
      <c r="D157" s="60"/>
      <c r="E157" s="60"/>
      <c r="F157" s="60"/>
      <c r="G157" s="60"/>
      <c r="I157" s="3">
        <f t="shared" si="17"/>
      </c>
    </row>
    <row r="158" spans="1:9" ht="9.75">
      <c r="A158" s="83"/>
      <c r="B158" s="59"/>
      <c r="C158" s="60"/>
      <c r="D158" s="60"/>
      <c r="E158" s="60"/>
      <c r="F158" s="60"/>
      <c r="G158" s="60"/>
      <c r="I158" s="3">
        <f t="shared" si="17"/>
      </c>
    </row>
    <row r="159" spans="1:9" ht="10.5" thickBot="1">
      <c r="A159" s="84" t="s">
        <v>152</v>
      </c>
      <c r="B159" s="59"/>
      <c r="C159" s="60"/>
      <c r="D159" s="60"/>
      <c r="E159" s="60"/>
      <c r="F159" s="60"/>
      <c r="G159" s="60"/>
      <c r="I159" s="3" t="str">
        <f t="shared" si="17"/>
        <v>ADMINISTR</v>
      </c>
    </row>
    <row r="160" spans="1:9" ht="9.75">
      <c r="A160" s="83" t="s">
        <v>153</v>
      </c>
      <c r="B160" s="59" t="str">
        <f>VLOOKUP(I160,'2018 SY O&amp;M Exp'!$A$8:$F$206,6,FALSE)</f>
        <v>920</v>
      </c>
      <c r="C160" s="60">
        <f>VLOOKUP(I160,'2018 SY O&amp;M Exp'!$A$8:$D$206,4,FALSE)</f>
        <v>217876456.16000044</v>
      </c>
      <c r="D160" s="82">
        <f>D200+D202</f>
        <v>-27723052.575182315</v>
      </c>
      <c r="E160" s="60">
        <f>+C160+D160</f>
        <v>190153403.58481812</v>
      </c>
      <c r="F160" s="60"/>
      <c r="G160" s="60">
        <f>+E160+F160</f>
        <v>190153403.58481812</v>
      </c>
      <c r="I160" s="3" t="str">
        <f t="shared" si="17"/>
        <v>INC520010</v>
      </c>
    </row>
    <row r="161" spans="1:9" ht="9.75">
      <c r="A161" s="83" t="s">
        <v>155</v>
      </c>
      <c r="B161" s="59" t="str">
        <f>VLOOKUP(I161,'2018 SY O&amp;M Exp'!$A$8:$F$206,6,FALSE)</f>
        <v>921</v>
      </c>
      <c r="C161" s="60">
        <f>VLOOKUP(I161,'2018 SY O&amp;M Exp'!$A$8:$D$206,4,FALSE)</f>
        <v>45583242.32000003</v>
      </c>
      <c r="D161" s="75">
        <f>D201</f>
        <v>-437982.57</v>
      </c>
      <c r="E161" s="60">
        <f aca="true" t="shared" si="20" ref="E161:E189">+C161+D161</f>
        <v>45145259.75000003</v>
      </c>
      <c r="F161" s="60"/>
      <c r="G161" s="60">
        <f aca="true" t="shared" si="21" ref="G161:G188">+E161+F161</f>
        <v>45145259.75000003</v>
      </c>
      <c r="I161" s="3" t="str">
        <f t="shared" si="17"/>
        <v>INC521000</v>
      </c>
    </row>
    <row r="162" spans="1:9" ht="9.75">
      <c r="A162" s="83" t="s">
        <v>157</v>
      </c>
      <c r="B162" s="59" t="str">
        <f>VLOOKUP(I162,'2018 SY O&amp;M Exp'!$A$8:$F$206,6,FALSE)</f>
        <v>921</v>
      </c>
      <c r="C162" s="60">
        <f>VLOOKUP(I162,'2018 SY O&amp;M Exp'!$A$8:$D$206,4,FALSE)</f>
        <v>515499.9999999999</v>
      </c>
      <c r="D162" s="60">
        <f>-C162</f>
        <v>-515499.9999999999</v>
      </c>
      <c r="E162" s="60">
        <f>+C162+D162</f>
        <v>0</v>
      </c>
      <c r="F162" s="60"/>
      <c r="G162" s="60">
        <f t="shared" si="21"/>
        <v>0</v>
      </c>
      <c r="I162" s="3" t="str">
        <f t="shared" si="17"/>
        <v>INC521151</v>
      </c>
    </row>
    <row r="163" spans="1:9" ht="9.75">
      <c r="A163" s="83" t="s">
        <v>326</v>
      </c>
      <c r="B163" s="59" t="str">
        <f>VLOOKUP(I163,'2018 SY O&amp;M Exp'!$A$8:$F$206,6,FALSE)</f>
        <v>922</v>
      </c>
      <c r="C163" s="60">
        <f>VLOOKUP(I163,'2018 SY O&amp;M Exp'!$A$8:$D$206,4,FALSE)</f>
        <v>-103067989.48000005</v>
      </c>
      <c r="D163" s="60"/>
      <c r="E163" s="60">
        <f t="shared" si="20"/>
        <v>-103067989.48000005</v>
      </c>
      <c r="F163" s="60"/>
      <c r="G163" s="60">
        <f>+E163+F163</f>
        <v>-103067989.48000005</v>
      </c>
      <c r="I163" s="3" t="str">
        <f t="shared" si="17"/>
        <v>INC522000</v>
      </c>
    </row>
    <row r="164" spans="1:9" ht="9.75">
      <c r="A164" s="83" t="s">
        <v>159</v>
      </c>
      <c r="B164" s="59" t="str">
        <f>VLOOKUP(I164,'2018 SY O&amp;M Exp'!$A$8:$F$206,6,FALSE)</f>
        <v>922</v>
      </c>
      <c r="C164" s="60">
        <f>VLOOKUP(I164,'2018 SY O&amp;M Exp'!$A$8:$D$206,4,FALSE)</f>
        <v>-450999.9999999999</v>
      </c>
      <c r="D164" s="60">
        <f>-C164</f>
        <v>450999.9999999999</v>
      </c>
      <c r="E164" s="60">
        <f t="shared" si="20"/>
        <v>0</v>
      </c>
      <c r="F164" s="60"/>
      <c r="G164" s="60">
        <f t="shared" si="21"/>
        <v>0</v>
      </c>
      <c r="I164" s="3" t="str">
        <f t="shared" si="17"/>
        <v>INC522151</v>
      </c>
    </row>
    <row r="165" spans="1:9" ht="9.75">
      <c r="A165" s="83" t="s">
        <v>161</v>
      </c>
      <c r="B165" s="59" t="str">
        <f>VLOOKUP(I165,'2018 SY O&amp;M Exp'!$A$8:$F$206,6,FALSE)</f>
        <v>923</v>
      </c>
      <c r="C165" s="60">
        <f>VLOOKUP(I165,'2018 SY O&amp;M Exp'!$A$8:$D$206,4,FALSE)</f>
        <v>41673686.33000001</v>
      </c>
      <c r="D165" s="60"/>
      <c r="E165" s="60">
        <f t="shared" si="20"/>
        <v>41673686.33000001</v>
      </c>
      <c r="F165" s="60"/>
      <c r="G165" s="60">
        <f t="shared" si="21"/>
        <v>41673686.33000001</v>
      </c>
      <c r="I165" s="3" t="str">
        <f t="shared" si="17"/>
        <v>INC523000</v>
      </c>
    </row>
    <row r="166" spans="1:9" ht="9.75">
      <c r="A166" s="83" t="s">
        <v>694</v>
      </c>
      <c r="B166" s="59">
        <v>923</v>
      </c>
      <c r="C166" s="60">
        <f>VLOOKUP(I166,'2018 SY O&amp;M Exp'!$A$8:$D$206,4,FALSE)</f>
        <v>1440060</v>
      </c>
      <c r="D166" s="60">
        <f>-C166</f>
        <v>-1440060</v>
      </c>
      <c r="E166" s="60">
        <f>+C166+D166</f>
        <v>0</v>
      </c>
      <c r="F166" s="60"/>
      <c r="G166" s="60">
        <f>+E166+F166</f>
        <v>0</v>
      </c>
      <c r="I166" s="3" t="str">
        <f t="shared" si="17"/>
        <v>INC523900</v>
      </c>
    </row>
    <row r="167" spans="1:9" ht="9.75">
      <c r="A167" s="83" t="s">
        <v>164</v>
      </c>
      <c r="B167" s="59" t="str">
        <f>VLOOKUP(I167,'2018 SY O&amp;M Exp'!$A$8:$F$206,6,FALSE)</f>
        <v>924</v>
      </c>
      <c r="C167" s="60">
        <f>VLOOKUP(I167,'2018 SY O&amp;M Exp'!$A$8:$D$206,4,FALSE)</f>
        <v>15579693.51</v>
      </c>
      <c r="D167" s="60"/>
      <c r="E167" s="60">
        <f t="shared" si="20"/>
        <v>15579693.51</v>
      </c>
      <c r="F167" s="60"/>
      <c r="G167" s="60">
        <f t="shared" si="21"/>
        <v>15579693.51</v>
      </c>
      <c r="I167" s="3" t="str">
        <f t="shared" si="17"/>
        <v>INC524000</v>
      </c>
    </row>
    <row r="168" spans="1:9" ht="9.75">
      <c r="A168" s="83" t="s">
        <v>165</v>
      </c>
      <c r="B168" s="59" t="str">
        <f>VLOOKUP(I168,'2018 SY O&amp;M Exp'!$A$8:$F$206,6,FALSE)</f>
        <v>924</v>
      </c>
      <c r="C168" s="60">
        <f>VLOOKUP(I168,'2018 SY O&amp;M Exp'!$A$8:$D$206,4,FALSE)</f>
        <v>1176229.9200000002</v>
      </c>
      <c r="D168" s="60"/>
      <c r="E168" s="60">
        <f t="shared" si="20"/>
        <v>1176229.9200000002</v>
      </c>
      <c r="F168" s="60"/>
      <c r="G168" s="60">
        <f t="shared" si="21"/>
        <v>1176229.9200000002</v>
      </c>
      <c r="I168" s="3" t="str">
        <f t="shared" si="17"/>
        <v>INC524100</v>
      </c>
    </row>
    <row r="169" spans="1:9" ht="9.75">
      <c r="A169" s="83" t="s">
        <v>166</v>
      </c>
      <c r="B169" s="59" t="str">
        <f>VLOOKUP(I169,'2018 SY O&amp;M Exp'!$A$8:$F$206,6,FALSE)</f>
        <v>924</v>
      </c>
      <c r="C169" s="60">
        <f>VLOOKUP(I169,'2018 SY O&amp;M Exp'!$A$8:$D$206,4,FALSE)</f>
        <v>482874.3899999999</v>
      </c>
      <c r="D169" s="60">
        <f>-C169</f>
        <v>-482874.3899999999</v>
      </c>
      <c r="E169" s="60">
        <f t="shared" si="20"/>
        <v>0</v>
      </c>
      <c r="F169" s="60"/>
      <c r="G169" s="60">
        <f t="shared" si="21"/>
        <v>0</v>
      </c>
      <c r="I169" s="3" t="str">
        <f t="shared" si="17"/>
        <v>INC524121</v>
      </c>
    </row>
    <row r="170" spans="1:9" ht="9.75">
      <c r="A170" s="83" t="s">
        <v>168</v>
      </c>
      <c r="B170" s="59" t="str">
        <f>VLOOKUP(I170,'2018 SY O&amp;M Exp'!$A$8:$F$206,6,FALSE)</f>
        <v>925</v>
      </c>
      <c r="C170" s="60">
        <f>VLOOKUP(I170,'2018 SY O&amp;M Exp'!$A$8:$D$206,4,FALSE)</f>
        <v>28589507.36</v>
      </c>
      <c r="D170" s="60"/>
      <c r="E170" s="60">
        <f t="shared" si="20"/>
        <v>28589507.36</v>
      </c>
      <c r="F170" s="60"/>
      <c r="G170" s="60">
        <f>+E170+F170</f>
        <v>28589507.36</v>
      </c>
      <c r="I170" s="3" t="str">
        <f t="shared" si="17"/>
        <v>INC525000</v>
      </c>
    </row>
    <row r="171" spans="1:9" ht="9.75">
      <c r="A171" s="83" t="s">
        <v>169</v>
      </c>
      <c r="B171" s="59" t="str">
        <f>VLOOKUP(I171,'2018 SY O&amp;M Exp'!$A$8:$F$206,6,FALSE)</f>
        <v>925</v>
      </c>
      <c r="C171" s="60">
        <f>VLOOKUP(I171,'2018 SY O&amp;M Exp'!$A$8:$D$206,4,FALSE)</f>
        <v>764747.7200000001</v>
      </c>
      <c r="D171" s="60">
        <f>-C171</f>
        <v>-764747.7200000001</v>
      </c>
      <c r="E171" s="60">
        <f t="shared" si="20"/>
        <v>0</v>
      </c>
      <c r="F171" s="60"/>
      <c r="G171" s="60">
        <f t="shared" si="21"/>
        <v>0</v>
      </c>
      <c r="I171" s="3" t="str">
        <f t="shared" si="17"/>
        <v>INC525100</v>
      </c>
    </row>
    <row r="172" spans="1:9" ht="9.75">
      <c r="A172" s="83" t="s">
        <v>349</v>
      </c>
      <c r="B172" s="59" t="str">
        <f>VLOOKUP(I172,'2018 SY O&amp;M Exp'!$A$8:$F$206,6,FALSE)</f>
        <v>925</v>
      </c>
      <c r="C172" s="60">
        <f>VLOOKUP(I172,'2018 SY O&amp;M Exp'!$A$8:$D$206,4,FALSE)</f>
        <v>0</v>
      </c>
      <c r="D172" s="60">
        <f>-C172</f>
        <v>0</v>
      </c>
      <c r="E172" s="60">
        <f t="shared" si="20"/>
        <v>0</v>
      </c>
      <c r="F172" s="60"/>
      <c r="G172" s="60">
        <f t="shared" si="21"/>
        <v>0</v>
      </c>
      <c r="I172" s="3" t="str">
        <f t="shared" si="17"/>
        <v>INC525101</v>
      </c>
    </row>
    <row r="173" spans="1:9" ht="9.75">
      <c r="A173" s="83" t="s">
        <v>702</v>
      </c>
      <c r="B173" s="59" t="str">
        <f>VLOOKUP(I173,'2018 SY O&amp;M Exp'!$A$8:$F$206,6,FALSE)</f>
        <v>925</v>
      </c>
      <c r="C173" s="60">
        <f>VLOOKUP(I173,'2018 SY O&amp;M Exp'!$A$8:$D$206,4,FALSE)</f>
        <v>180.38000000000002</v>
      </c>
      <c r="D173" s="60">
        <f>-C173</f>
        <v>-180.38000000000002</v>
      </c>
      <c r="E173" s="60">
        <f>+C173+D173</f>
        <v>0</v>
      </c>
      <c r="F173" s="60"/>
      <c r="G173" s="60">
        <f>+E173+F173</f>
        <v>0</v>
      </c>
      <c r="I173" s="3" t="str">
        <f>LEFT(A173,9)</f>
        <v>INC525106</v>
      </c>
    </row>
    <row r="174" spans="1:9" ht="9.75">
      <c r="A174" s="83" t="s">
        <v>350</v>
      </c>
      <c r="B174" s="59" t="str">
        <f>VLOOKUP(I174,'2018 SY O&amp;M Exp'!$A$8:$F$206,6,FALSE)</f>
        <v>925</v>
      </c>
      <c r="C174" s="60">
        <f>VLOOKUP(I174,'2018 SY O&amp;M Exp'!$A$8:$D$206,4,FALSE)</f>
        <v>106686.41000000002</v>
      </c>
      <c r="D174" s="60">
        <f>-C174</f>
        <v>-106686.41000000002</v>
      </c>
      <c r="E174" s="60">
        <f t="shared" si="20"/>
        <v>0</v>
      </c>
      <c r="F174" s="60"/>
      <c r="G174" s="60">
        <f t="shared" si="21"/>
        <v>0</v>
      </c>
      <c r="I174" s="3" t="str">
        <f t="shared" si="17"/>
        <v>INC525110</v>
      </c>
    </row>
    <row r="175" spans="1:9" ht="9.75">
      <c r="A175" s="83" t="s">
        <v>351</v>
      </c>
      <c r="B175" s="59" t="str">
        <f>VLOOKUP(I175,'2018 SY O&amp;M Exp'!$A$8:$F$206,6,FALSE)</f>
        <v>925</v>
      </c>
      <c r="C175" s="60">
        <f>VLOOKUP(I175,'2018 SY O&amp;M Exp'!$A$8:$D$206,4,FALSE)</f>
        <v>13060.719999999998</v>
      </c>
      <c r="D175" s="60">
        <f>-C175</f>
        <v>-13060.719999999998</v>
      </c>
      <c r="E175" s="60">
        <f t="shared" si="20"/>
        <v>0</v>
      </c>
      <c r="F175" s="60"/>
      <c r="G175" s="60">
        <f t="shared" si="21"/>
        <v>0</v>
      </c>
      <c r="I175" s="3" t="str">
        <f t="shared" si="17"/>
        <v>INC525120</v>
      </c>
    </row>
    <row r="176" spans="1:9" ht="9.75">
      <c r="A176" s="83" t="s">
        <v>171</v>
      </c>
      <c r="B176" s="59" t="str">
        <f>VLOOKUP(I176,'2018 SY O&amp;M Exp'!$A$8:$F$206,6,FALSE)</f>
        <v>926</v>
      </c>
      <c r="C176" s="60">
        <f>VLOOKUP(I176,'2018 SY O&amp;M Exp'!$A$8:$D$206,4,FALSE)</f>
        <v>61766103.47999996</v>
      </c>
      <c r="D176" s="60"/>
      <c r="E176" s="60">
        <f t="shared" si="20"/>
        <v>61766103.47999996</v>
      </c>
      <c r="F176" s="60"/>
      <c r="G176" s="60">
        <f>+E176+F176</f>
        <v>61766103.47999996</v>
      </c>
      <c r="I176" s="3" t="str">
        <f t="shared" si="17"/>
        <v>INC526100</v>
      </c>
    </row>
    <row r="177" spans="1:9" ht="9.75">
      <c r="A177" s="83" t="s">
        <v>172</v>
      </c>
      <c r="B177" s="59" t="str">
        <f>VLOOKUP(I177,'2018 SY O&amp;M Exp'!$A$8:$F$206,6,FALSE)</f>
        <v>926</v>
      </c>
      <c r="C177" s="60">
        <f>VLOOKUP(I177,'2018 SY O&amp;M Exp'!$A$8:$D$206,4,FALSE)</f>
        <v>30246.100000000006</v>
      </c>
      <c r="D177" s="60">
        <f>-C177</f>
        <v>-30246.100000000006</v>
      </c>
      <c r="E177" s="60">
        <f t="shared" si="20"/>
        <v>0</v>
      </c>
      <c r="F177" s="60"/>
      <c r="G177" s="60">
        <f t="shared" si="21"/>
        <v>0</v>
      </c>
      <c r="I177" s="3" t="str">
        <f t="shared" si="17"/>
        <v>INC526110</v>
      </c>
    </row>
    <row r="178" spans="1:9" ht="9.75">
      <c r="A178" s="83" t="s">
        <v>173</v>
      </c>
      <c r="B178" s="59" t="str">
        <f>VLOOKUP(I178,'2018 SY O&amp;M Exp'!$A$8:$F$206,6,FALSE)</f>
        <v>926</v>
      </c>
      <c r="C178" s="60">
        <f>VLOOKUP(I178,'2018 SY O&amp;M Exp'!$A$8:$D$206,4,FALSE)</f>
        <v>233483.54000000004</v>
      </c>
      <c r="D178" s="60">
        <f>-C178</f>
        <v>-233483.54000000004</v>
      </c>
      <c r="E178" s="60">
        <f t="shared" si="20"/>
        <v>0</v>
      </c>
      <c r="F178" s="60"/>
      <c r="G178" s="60">
        <f t="shared" si="21"/>
        <v>0</v>
      </c>
      <c r="I178" s="3" t="str">
        <f t="shared" si="17"/>
        <v>INC526120</v>
      </c>
    </row>
    <row r="179" spans="1:9" ht="9.75">
      <c r="A179" s="83" t="s">
        <v>352</v>
      </c>
      <c r="B179" s="59" t="str">
        <f>VLOOKUP(I179,'2018 SY O&amp;M Exp'!$A$8:$F$206,6,FALSE)</f>
        <v>926</v>
      </c>
      <c r="C179" s="60">
        <f>VLOOKUP(I179,'2018 SY O&amp;M Exp'!$A$8:$D$206,4,FALSE)</f>
        <v>229590.92000000004</v>
      </c>
      <c r="D179" s="60">
        <f>-C179</f>
        <v>-229590.92000000004</v>
      </c>
      <c r="E179" s="60">
        <f t="shared" si="20"/>
        <v>0</v>
      </c>
      <c r="F179" s="60"/>
      <c r="G179" s="60">
        <f t="shared" si="21"/>
        <v>0</v>
      </c>
      <c r="I179" s="3" t="str">
        <f t="shared" si="17"/>
        <v>INC526130</v>
      </c>
    </row>
    <row r="180" spans="1:9" ht="9.75">
      <c r="A180" s="83" t="s">
        <v>353</v>
      </c>
      <c r="B180" s="59" t="str">
        <f>VLOOKUP(I180,'2018 SY O&amp;M Exp'!$A$8:$F$206,6,FALSE)</f>
        <v>926</v>
      </c>
      <c r="C180" s="60">
        <f>VLOOKUP(I180,'2018 SY O&amp;M Exp'!$A$8:$D$206,4,FALSE)</f>
        <v>0</v>
      </c>
      <c r="D180" s="60">
        <f>-C180</f>
        <v>0</v>
      </c>
      <c r="E180" s="60">
        <f t="shared" si="20"/>
        <v>0</v>
      </c>
      <c r="F180" s="60"/>
      <c r="G180" s="60">
        <f t="shared" si="21"/>
        <v>0</v>
      </c>
      <c r="I180" s="3" t="str">
        <f aca="true" t="shared" si="22" ref="I180:I189">LEFT(A180,9)</f>
        <v>INC526131</v>
      </c>
    </row>
    <row r="181" spans="1:9" ht="9.75">
      <c r="A181" s="83" t="s">
        <v>174</v>
      </c>
      <c r="B181" s="59" t="str">
        <f>VLOOKUP(I181,'2018 SY O&amp;M Exp'!$A$8:$F$206,6,FALSE)</f>
        <v>926</v>
      </c>
      <c r="C181" s="60">
        <f>VLOOKUP(I181,'2018 SY O&amp;M Exp'!$A$8:$D$206,4,FALSE)</f>
        <v>1647112.6900000004</v>
      </c>
      <c r="D181" s="60">
        <f>-C181</f>
        <v>-1647112.6900000004</v>
      </c>
      <c r="E181" s="60">
        <f t="shared" si="20"/>
        <v>0</v>
      </c>
      <c r="F181" s="60"/>
      <c r="G181" s="60">
        <f t="shared" si="21"/>
        <v>0</v>
      </c>
      <c r="I181" s="3" t="str">
        <f t="shared" si="22"/>
        <v>INC526211</v>
      </c>
    </row>
    <row r="182" spans="1:9" ht="9.75">
      <c r="A182" s="83" t="s">
        <v>354</v>
      </c>
      <c r="B182" s="59" t="str">
        <f>VLOOKUP(I182,'2018 SY O&amp;M Exp'!$A$8:$F$206,6,FALSE)</f>
        <v>926</v>
      </c>
      <c r="C182" s="60">
        <f>VLOOKUP(I182,'2018 SY O&amp;M Exp'!$A$8:$D$206,4,FALSE)</f>
        <v>0</v>
      </c>
      <c r="D182" s="60"/>
      <c r="E182" s="60">
        <f t="shared" si="20"/>
        <v>0</v>
      </c>
      <c r="F182" s="60"/>
      <c r="G182" s="60">
        <f t="shared" si="21"/>
        <v>0</v>
      </c>
      <c r="I182" s="3" t="str">
        <f t="shared" si="22"/>
        <v>INC526650</v>
      </c>
    </row>
    <row r="183" spans="1:9" ht="9.75">
      <c r="A183" s="83" t="s">
        <v>177</v>
      </c>
      <c r="B183" s="59" t="str">
        <f>VLOOKUP(I183,'2018 SY O&amp;M Exp'!$A$8:$F$206,6,FALSE)</f>
        <v>928</v>
      </c>
      <c r="C183" s="60">
        <f>VLOOKUP(I183,'2018 SY O&amp;M Exp'!$A$8:$D$206,4,FALSE)</f>
        <v>1786035.1400000001</v>
      </c>
      <c r="D183" s="60"/>
      <c r="E183" s="60">
        <f t="shared" si="20"/>
        <v>1786035.1400000001</v>
      </c>
      <c r="F183" s="60"/>
      <c r="G183" s="60">
        <f t="shared" si="21"/>
        <v>1786035.1400000001</v>
      </c>
      <c r="I183" s="3" t="str">
        <f t="shared" si="22"/>
        <v>INC528010</v>
      </c>
    </row>
    <row r="184" spans="1:9" ht="9.75">
      <c r="A184" s="83" t="s">
        <v>178</v>
      </c>
      <c r="B184" s="59" t="str">
        <f>VLOOKUP(I184,'2018 SY O&amp;M Exp'!$A$8:$F$206,6,FALSE)</f>
        <v>928</v>
      </c>
      <c r="C184" s="60">
        <f>VLOOKUP(I184,'2018 SY O&amp;M Exp'!$A$8:$D$206,4,FALSE)</f>
        <v>5396.849999999999</v>
      </c>
      <c r="D184" s="60"/>
      <c r="E184" s="60">
        <f t="shared" si="20"/>
        <v>5396.849999999999</v>
      </c>
      <c r="F184" s="60"/>
      <c r="G184" s="60">
        <f t="shared" si="21"/>
        <v>5396.849999999999</v>
      </c>
      <c r="I184" s="3" t="str">
        <f t="shared" si="22"/>
        <v>INC528020</v>
      </c>
    </row>
    <row r="185" spans="1:9" ht="9.75">
      <c r="A185" s="83" t="s">
        <v>355</v>
      </c>
      <c r="B185" s="59" t="str">
        <f>VLOOKUP(I185,'2018 SY O&amp;M Exp'!$A$8:$F$206,6,FALSE)</f>
        <v>928</v>
      </c>
      <c r="C185" s="60">
        <f>VLOOKUP(I185,'2018 SY O&amp;M Exp'!$A$8:$D$206,4,FALSE)</f>
        <v>359790</v>
      </c>
      <c r="D185" s="60"/>
      <c r="E185" s="60">
        <f t="shared" si="20"/>
        <v>359790</v>
      </c>
      <c r="F185" s="60"/>
      <c r="G185" s="60">
        <f t="shared" si="21"/>
        <v>359790</v>
      </c>
      <c r="I185" s="3" t="str">
        <f t="shared" si="22"/>
        <v>INC528100</v>
      </c>
    </row>
    <row r="186" spans="1:9" ht="9.75">
      <c r="A186" s="83" t="s">
        <v>327</v>
      </c>
      <c r="B186" s="59" t="str">
        <f>VLOOKUP(I186,'2018 SY O&amp;M Exp'!$A$8:$F$206,6,FALSE)</f>
        <v>929</v>
      </c>
      <c r="C186" s="60">
        <f>VLOOKUP(I186,'2018 SY O&amp;M Exp'!$A$8:$D$206,4,FALSE)</f>
        <v>0</v>
      </c>
      <c r="D186" s="60">
        <f>-C186</f>
        <v>0</v>
      </c>
      <c r="E186" s="60">
        <f t="shared" si="20"/>
        <v>0</v>
      </c>
      <c r="F186" s="60"/>
      <c r="G186" s="60">
        <f t="shared" si="21"/>
        <v>0</v>
      </c>
      <c r="I186" s="3" t="str">
        <f t="shared" si="22"/>
        <v>INC529100</v>
      </c>
    </row>
    <row r="187" spans="1:9" ht="9.75">
      <c r="A187" s="83" t="s">
        <v>181</v>
      </c>
      <c r="B187" s="59" t="str">
        <f>VLOOKUP(I187,'2018 SY O&amp;M Exp'!$A$8:$F$206,6,FALSE)</f>
        <v>930</v>
      </c>
      <c r="C187" s="60">
        <f>VLOOKUP(I187,'2018 SY O&amp;M Exp'!$A$8:$D$206,4,FALSE)</f>
        <v>13804789.930000003</v>
      </c>
      <c r="D187" s="80">
        <f>D203+D204+D205</f>
        <v>-2299910.4835000006</v>
      </c>
      <c r="E187" s="60">
        <f t="shared" si="20"/>
        <v>11504879.446500003</v>
      </c>
      <c r="F187" s="60"/>
      <c r="G187" s="60">
        <f t="shared" si="21"/>
        <v>11504879.446500003</v>
      </c>
      <c r="I187" s="3" t="str">
        <f t="shared" si="22"/>
        <v>INC530000</v>
      </c>
    </row>
    <row r="188" spans="1:9" ht="9.75">
      <c r="A188" s="1" t="s">
        <v>184</v>
      </c>
      <c r="B188" s="59" t="str">
        <f>VLOOKUP(I188,'2018 SY O&amp;M Exp'!$A$8:$F$206,6,FALSE)</f>
        <v>931</v>
      </c>
      <c r="C188" s="60">
        <f>VLOOKUP(I188,'2018 SY O&amp;M Exp'!$A$8:$D$206,4,FALSE)</f>
        <v>10270107.38</v>
      </c>
      <c r="D188" s="60"/>
      <c r="E188" s="60">
        <f t="shared" si="20"/>
        <v>10270107.38</v>
      </c>
      <c r="F188" s="60"/>
      <c r="G188" s="60">
        <f t="shared" si="21"/>
        <v>10270107.38</v>
      </c>
      <c r="I188" s="3" t="str">
        <f t="shared" si="22"/>
        <v>INC531000</v>
      </c>
    </row>
    <row r="189" spans="1:9" ht="10.5" thickBot="1">
      <c r="A189" s="1" t="s">
        <v>186</v>
      </c>
      <c r="B189" s="59" t="str">
        <f>VLOOKUP(I189,'2018 SY O&amp;M Exp'!$A$8:$F$206,6,FALSE)</f>
        <v>935</v>
      </c>
      <c r="C189" s="60">
        <f>VLOOKUP(I189,'2018 SY O&amp;M Exp'!$A$8:$D$206,4,FALSE)</f>
        <v>14605582.589999994</v>
      </c>
      <c r="D189" s="61"/>
      <c r="E189" s="61">
        <f t="shared" si="20"/>
        <v>14605582.589999994</v>
      </c>
      <c r="F189" s="61"/>
      <c r="G189" s="61">
        <f>+E189+F189</f>
        <v>14605582.589999994</v>
      </c>
      <c r="I189" s="3" t="str">
        <f t="shared" si="22"/>
        <v>INC535000</v>
      </c>
    </row>
    <row r="190" spans="1:7" ht="9.75">
      <c r="A190" s="1"/>
      <c r="B190" s="59"/>
      <c r="C190" s="60">
        <f>SUM(C160:C189)</f>
        <v>355021174.36000043</v>
      </c>
      <c r="D190" s="60">
        <f>SUM(D160:D189)</f>
        <v>-35473488.49868232</v>
      </c>
      <c r="E190" s="60">
        <f>SUM(E160:E189)</f>
        <v>319547685.86131805</v>
      </c>
      <c r="F190" s="60">
        <f>SUM(F160:F189)</f>
        <v>0</v>
      </c>
      <c r="G190" s="70">
        <f>SUM(G160:G189)</f>
        <v>319547685.86131805</v>
      </c>
    </row>
    <row r="191" spans="1:7" ht="9.75">
      <c r="A191" s="1"/>
      <c r="B191" s="59"/>
      <c r="C191" s="60"/>
      <c r="D191" s="60"/>
      <c r="E191" s="60"/>
      <c r="F191" s="60"/>
      <c r="G191" s="60"/>
    </row>
    <row r="192" spans="1:7" ht="9.75">
      <c r="A192" s="72" t="s">
        <v>328</v>
      </c>
      <c r="B192" s="59"/>
      <c r="C192" s="60">
        <f>+C190+C156+C151+C139+C130+C105+C85+C76+C51+C26</f>
        <v>5190939957.350161</v>
      </c>
      <c r="D192" s="60">
        <f>+D190+D156+D151+D139+D130+D105+D85+D76+D51+D26</f>
        <v>-3693514315.6788435</v>
      </c>
      <c r="E192" s="60">
        <f>+E190+E156+E151+E139+E130+E105+E85+E76+E51+E26</f>
        <v>1497425641.6713183</v>
      </c>
      <c r="F192" s="60">
        <f>+F190+F156+F151+F139+F130+F105+F85+F76+F51+F26</f>
        <v>-44486005.379999995</v>
      </c>
      <c r="G192" s="70">
        <f>+G190+G156+G151+G139+G130+G105+G85+G76+G51+G26</f>
        <v>1452939636.2913182</v>
      </c>
    </row>
    <row r="193" spans="1:7" ht="9.75">
      <c r="A193" s="2" t="s">
        <v>189</v>
      </c>
      <c r="C193" s="194" t="b">
        <f>C192='2018 SY O&amp;M Exp'!D206</f>
        <v>1</v>
      </c>
      <c r="D193" s="62"/>
      <c r="E193" s="62"/>
      <c r="F193" s="62"/>
      <c r="G193" s="194" t="b">
        <f>G192=('BM 2013-2018'!E28*1000)</f>
        <v>1</v>
      </c>
    </row>
    <row r="194" spans="1:7" ht="9.75">
      <c r="A194" s="2" t="s">
        <v>376</v>
      </c>
      <c r="D194" s="62"/>
      <c r="E194" s="62"/>
      <c r="F194" s="62"/>
      <c r="G194" s="62"/>
    </row>
    <row r="195" spans="1:7" ht="13.5">
      <c r="A195" s="91"/>
      <c r="D195" s="62"/>
      <c r="E195" s="62"/>
      <c r="F195" s="62"/>
      <c r="G195" s="89"/>
    </row>
    <row r="196" spans="4:7" ht="9.75">
      <c r="D196" s="62"/>
      <c r="E196" s="62"/>
      <c r="F196" s="62"/>
      <c r="G196" s="62"/>
    </row>
    <row r="197" spans="4:7" ht="9.75">
      <c r="D197" s="62"/>
      <c r="E197" s="62"/>
      <c r="F197" s="62"/>
      <c r="G197" s="62"/>
    </row>
    <row r="198" spans="4:7" ht="9.75">
      <c r="D198" s="62"/>
      <c r="E198" s="62"/>
      <c r="F198" s="62"/>
      <c r="G198" s="62"/>
    </row>
    <row r="199" spans="1:7" ht="10.5" thickBot="1">
      <c r="A199" s="90" t="s">
        <v>361</v>
      </c>
      <c r="D199" s="62"/>
      <c r="E199" s="62"/>
      <c r="F199" s="62"/>
      <c r="G199" s="62"/>
    </row>
    <row r="200" spans="1:7" ht="9.75">
      <c r="A200" s="2" t="s">
        <v>363</v>
      </c>
      <c r="B200" s="208" t="s">
        <v>727</v>
      </c>
      <c r="D200" s="81">
        <f>'2018 Adj'!B19</f>
        <v>-27519068.815182313</v>
      </c>
      <c r="E200" s="62"/>
      <c r="F200" s="62"/>
      <c r="G200" s="62"/>
    </row>
    <row r="201" spans="1:7" ht="9.75">
      <c r="A201" s="2" t="s">
        <v>362</v>
      </c>
      <c r="B201" s="208" t="s">
        <v>728</v>
      </c>
      <c r="D201" s="76">
        <f>'2018 Adj'!B25</f>
        <v>-437982.57</v>
      </c>
      <c r="E201" s="62"/>
      <c r="F201" s="62"/>
      <c r="G201" s="62"/>
    </row>
    <row r="202" spans="1:7" ht="9.75">
      <c r="A202" s="2" t="s">
        <v>366</v>
      </c>
      <c r="B202" s="208" t="s">
        <v>729</v>
      </c>
      <c r="D202" s="81">
        <f>'2018 Adj'!B7</f>
        <v>-203983.76</v>
      </c>
      <c r="E202" s="62"/>
      <c r="F202" s="62"/>
      <c r="G202" s="62"/>
    </row>
    <row r="203" spans="1:7" ht="9.75">
      <c r="A203" s="2" t="s">
        <v>367</v>
      </c>
      <c r="B203" s="208" t="s">
        <v>730</v>
      </c>
      <c r="D203" s="79">
        <f>'2018 Adj'!B13</f>
        <v>-123556.61349999996</v>
      </c>
      <c r="E203" s="62"/>
      <c r="F203" s="62"/>
      <c r="G203" s="62"/>
    </row>
    <row r="204" spans="1:7" ht="9.75">
      <c r="A204" s="2" t="s">
        <v>369</v>
      </c>
      <c r="B204" s="208" t="s">
        <v>731</v>
      </c>
      <c r="D204" s="79">
        <f>'2018 Adj'!B31</f>
        <v>-2114537.1500000004</v>
      </c>
      <c r="E204" s="62"/>
      <c r="F204" s="62"/>
      <c r="G204" s="62"/>
    </row>
    <row r="205" spans="1:7" ht="10.5" thickBot="1">
      <c r="A205" s="2" t="s">
        <v>370</v>
      </c>
      <c r="B205" s="208" t="s">
        <v>732</v>
      </c>
      <c r="D205" s="79">
        <f>'2018 Adj'!B37</f>
        <v>-61816.71999999999</v>
      </c>
      <c r="E205" s="62"/>
      <c r="F205" s="62"/>
      <c r="G205" s="62"/>
    </row>
    <row r="206" spans="1:7" ht="9.75">
      <c r="A206" s="2" t="s">
        <v>372</v>
      </c>
      <c r="D206" s="74">
        <f>SUM(D200:D205)</f>
        <v>-30460945.628682315</v>
      </c>
      <c r="E206" s="62"/>
      <c r="F206" s="62"/>
      <c r="G206" s="62"/>
    </row>
    <row r="207" spans="4:7" ht="9.75">
      <c r="D207" s="62"/>
      <c r="E207" s="62"/>
      <c r="F207" s="62"/>
      <c r="G207" s="62"/>
    </row>
    <row r="208" spans="1:7" ht="9.75">
      <c r="A208" s="2" t="s">
        <v>210</v>
      </c>
      <c r="D208" s="209" t="b">
        <f>D206='2018 Adj'!B42</f>
        <v>1</v>
      </c>
      <c r="E208" s="62"/>
      <c r="F208" s="62"/>
      <c r="G208" s="62"/>
    </row>
    <row r="209" spans="4:7" ht="9.75">
      <c r="D209" s="62"/>
      <c r="E209" s="62"/>
      <c r="F209" s="62"/>
      <c r="G209" s="62"/>
    </row>
    <row r="210" spans="4:7" ht="9.75">
      <c r="D210" s="62"/>
      <c r="E210" s="62"/>
      <c r="F210" s="62"/>
      <c r="G210" s="62"/>
    </row>
    <row r="211" spans="4:7" ht="9.75">
      <c r="D211" s="62"/>
      <c r="E211" s="62"/>
      <c r="F211" s="62"/>
      <c r="G211" s="62"/>
    </row>
    <row r="212" spans="4:7" ht="9.75">
      <c r="D212" s="62"/>
      <c r="E212" s="62"/>
      <c r="F212" s="62"/>
      <c r="G212" s="62"/>
    </row>
    <row r="213" spans="4:7" ht="9.75">
      <c r="D213" s="62"/>
      <c r="E213" s="62"/>
      <c r="F213" s="62"/>
      <c r="G213" s="62"/>
    </row>
    <row r="214" spans="4:7" ht="9.75">
      <c r="D214" s="62"/>
      <c r="E214" s="62"/>
      <c r="F214" s="62"/>
      <c r="G214" s="62"/>
    </row>
    <row r="215" spans="4:7" ht="9.75">
      <c r="D215" s="62"/>
      <c r="E215" s="62"/>
      <c r="F215" s="62"/>
      <c r="G215" s="62"/>
    </row>
    <row r="216" spans="4:7" ht="9.75">
      <c r="D216" s="62"/>
      <c r="E216" s="62"/>
      <c r="F216" s="62"/>
      <c r="G216" s="62"/>
    </row>
    <row r="217" spans="4:7" ht="9.75">
      <c r="D217" s="62"/>
      <c r="E217" s="62"/>
      <c r="F217" s="62"/>
      <c r="G217" s="62"/>
    </row>
    <row r="218" spans="4:7" ht="9.75">
      <c r="D218" s="62"/>
      <c r="E218" s="62"/>
      <c r="F218" s="62"/>
      <c r="G218" s="62"/>
    </row>
    <row r="219" spans="4:7" ht="9.75">
      <c r="D219" s="62"/>
      <c r="E219" s="62"/>
      <c r="F219" s="62"/>
      <c r="G219" s="62"/>
    </row>
    <row r="220" spans="4:7" ht="9.75">
      <c r="D220" s="62"/>
      <c r="E220" s="62"/>
      <c r="F220" s="62"/>
      <c r="G220" s="62"/>
    </row>
    <row r="221" spans="4:7" ht="9.75">
      <c r="D221" s="62"/>
      <c r="E221" s="62"/>
      <c r="F221" s="62"/>
      <c r="G221" s="62"/>
    </row>
    <row r="222" spans="4:7" ht="9.75">
      <c r="D222" s="62"/>
      <c r="E222" s="62"/>
      <c r="F222" s="62"/>
      <c r="G222" s="62"/>
    </row>
    <row r="223" spans="4:7" ht="9.75">
      <c r="D223" s="62"/>
      <c r="E223" s="62"/>
      <c r="F223" s="62"/>
      <c r="G223" s="62"/>
    </row>
    <row r="224" spans="4:7" ht="9.75">
      <c r="D224" s="62"/>
      <c r="E224" s="62"/>
      <c r="F224" s="62"/>
      <c r="G224" s="62"/>
    </row>
    <row r="225" spans="4:7" ht="9.75">
      <c r="D225" s="62"/>
      <c r="E225" s="62"/>
      <c r="F225" s="62"/>
      <c r="G225" s="62"/>
    </row>
    <row r="226" spans="4:7" ht="9.75">
      <c r="D226" s="62"/>
      <c r="E226" s="62"/>
      <c r="F226" s="62"/>
      <c r="G226" s="62"/>
    </row>
    <row r="227" spans="4:7" ht="9.75">
      <c r="D227" s="62"/>
      <c r="E227" s="62"/>
      <c r="F227" s="62"/>
      <c r="G227" s="62"/>
    </row>
    <row r="228" spans="4:7" ht="9.75">
      <c r="D228" s="62"/>
      <c r="E228" s="62"/>
      <c r="F228" s="62"/>
      <c r="G228" s="62"/>
    </row>
    <row r="229" spans="4:7" ht="9.75">
      <c r="D229" s="62"/>
      <c r="E229" s="62"/>
      <c r="F229" s="62"/>
      <c r="G229" s="62"/>
    </row>
    <row r="230" spans="4:7" ht="9.75">
      <c r="D230" s="62"/>
      <c r="E230" s="62"/>
      <c r="F230" s="62"/>
      <c r="G230" s="62"/>
    </row>
    <row r="231" spans="4:7" ht="9.75">
      <c r="D231" s="62"/>
      <c r="E231" s="62"/>
      <c r="F231" s="62"/>
      <c r="G231" s="62"/>
    </row>
    <row r="232" spans="4:7" ht="9.75">
      <c r="D232" s="62"/>
      <c r="E232" s="62"/>
      <c r="F232" s="62"/>
      <c r="G232" s="62"/>
    </row>
    <row r="233" spans="4:7" ht="9.75">
      <c r="D233" s="62"/>
      <c r="E233" s="62"/>
      <c r="F233" s="62"/>
      <c r="G233" s="62"/>
    </row>
    <row r="234" spans="4:7" ht="9.75">
      <c r="D234" s="62"/>
      <c r="E234" s="62"/>
      <c r="F234" s="62"/>
      <c r="G234" s="62"/>
    </row>
    <row r="235" spans="4:7" ht="9.75">
      <c r="D235" s="62"/>
      <c r="E235" s="62"/>
      <c r="F235" s="62"/>
      <c r="G235" s="62"/>
    </row>
    <row r="236" spans="4:7" ht="9.75">
      <c r="D236" s="62"/>
      <c r="E236" s="62"/>
      <c r="F236" s="62"/>
      <c r="G236" s="62"/>
    </row>
    <row r="237" spans="4:7" ht="9.75">
      <c r="D237" s="62"/>
      <c r="E237" s="62"/>
      <c r="F237" s="62"/>
      <c r="G237" s="62"/>
    </row>
    <row r="238" spans="4:7" ht="9.75">
      <c r="D238" s="62"/>
      <c r="E238" s="62"/>
      <c r="F238" s="62"/>
      <c r="G238" s="62"/>
    </row>
    <row r="239" spans="4:7" ht="9.75">
      <c r="D239" s="62"/>
      <c r="E239" s="62"/>
      <c r="F239" s="62"/>
      <c r="G239" s="62"/>
    </row>
    <row r="240" spans="4:7" ht="9.75">
      <c r="D240" s="62"/>
      <c r="E240" s="62"/>
      <c r="F240" s="62"/>
      <c r="G240" s="62"/>
    </row>
    <row r="241" spans="4:7" ht="9.75">
      <c r="D241" s="62"/>
      <c r="E241" s="62"/>
      <c r="F241" s="62"/>
      <c r="G241" s="62"/>
    </row>
    <row r="242" spans="4:7" ht="9.75">
      <c r="D242" s="62"/>
      <c r="E242" s="62"/>
      <c r="F242" s="62"/>
      <c r="G242" s="62"/>
    </row>
    <row r="243" spans="4:7" ht="9.75">
      <c r="D243" s="62"/>
      <c r="E243" s="62"/>
      <c r="F243" s="62"/>
      <c r="G243" s="62"/>
    </row>
    <row r="244" spans="4:7" ht="9.75">
      <c r="D244" s="62"/>
      <c r="E244" s="62"/>
      <c r="F244" s="62"/>
      <c r="G244" s="62"/>
    </row>
    <row r="245" spans="4:7" ht="9.75">
      <c r="D245" s="62"/>
      <c r="E245" s="62"/>
      <c r="F245" s="62"/>
      <c r="G245" s="62"/>
    </row>
    <row r="246" spans="4:7" ht="9.75">
      <c r="D246" s="62"/>
      <c r="E246" s="62"/>
      <c r="F246" s="62"/>
      <c r="G246" s="62"/>
    </row>
    <row r="247" spans="4:7" ht="9.75">
      <c r="D247" s="62"/>
      <c r="E247" s="62"/>
      <c r="F247" s="62"/>
      <c r="G247" s="62"/>
    </row>
    <row r="248" spans="4:7" ht="9.75">
      <c r="D248" s="62"/>
      <c r="E248" s="62"/>
      <c r="F248" s="62"/>
      <c r="G248" s="62"/>
    </row>
    <row r="249" spans="4:7" ht="9.75">
      <c r="D249" s="62"/>
      <c r="E249" s="62"/>
      <c r="F249" s="62"/>
      <c r="G249" s="62"/>
    </row>
    <row r="250" spans="4:7" ht="9.75">
      <c r="D250" s="62"/>
      <c r="E250" s="62"/>
      <c r="F250" s="62"/>
      <c r="G250" s="62"/>
    </row>
    <row r="251" spans="4:7" ht="9.75">
      <c r="D251" s="62"/>
      <c r="E251" s="62"/>
      <c r="F251" s="62"/>
      <c r="G251" s="62"/>
    </row>
    <row r="252" spans="4:7" ht="9.75">
      <c r="D252" s="62"/>
      <c r="E252" s="62"/>
      <c r="F252" s="62"/>
      <c r="G252" s="62"/>
    </row>
    <row r="253" spans="4:7" ht="9.75">
      <c r="D253" s="62"/>
      <c r="E253" s="62"/>
      <c r="F253" s="62"/>
      <c r="G253" s="62"/>
    </row>
    <row r="254" spans="4:7" ht="9.75">
      <c r="D254" s="62"/>
      <c r="E254" s="62"/>
      <c r="F254" s="62"/>
      <c r="G254" s="62"/>
    </row>
    <row r="255" spans="4:7" ht="9.75">
      <c r="D255" s="62"/>
      <c r="E255" s="62"/>
      <c r="F255" s="62"/>
      <c r="G255" s="62"/>
    </row>
    <row r="256" spans="4:7" ht="9.75">
      <c r="D256" s="62"/>
      <c r="E256" s="62"/>
      <c r="F256" s="62"/>
      <c r="G256" s="62"/>
    </row>
    <row r="257" spans="4:7" ht="9.75">
      <c r="D257" s="62"/>
      <c r="E257" s="62"/>
      <c r="F257" s="62"/>
      <c r="G257" s="62"/>
    </row>
    <row r="258" spans="4:7" ht="9.75">
      <c r="D258" s="62"/>
      <c r="E258" s="62"/>
      <c r="F258" s="62"/>
      <c r="G258" s="62"/>
    </row>
    <row r="259" spans="4:7" ht="9.75">
      <c r="D259" s="62"/>
      <c r="E259" s="62"/>
      <c r="F259" s="62"/>
      <c r="G259" s="62"/>
    </row>
    <row r="260" spans="4:7" ht="9.75">
      <c r="D260" s="62"/>
      <c r="E260" s="62"/>
      <c r="F260" s="62"/>
      <c r="G260" s="62"/>
    </row>
    <row r="261" spans="4:7" ht="9.75">
      <c r="D261" s="62"/>
      <c r="E261" s="62"/>
      <c r="F261" s="62"/>
      <c r="G261" s="62"/>
    </row>
    <row r="262" spans="4:7" ht="9.75">
      <c r="D262" s="62"/>
      <c r="E262" s="62"/>
      <c r="F262" s="62"/>
      <c r="G262" s="62"/>
    </row>
    <row r="263" spans="4:7" ht="9.75">
      <c r="D263" s="62"/>
      <c r="E263" s="62"/>
      <c r="F263" s="62"/>
      <c r="G263" s="62"/>
    </row>
    <row r="264" spans="4:7" ht="9.75">
      <c r="D264" s="62"/>
      <c r="E264" s="62"/>
      <c r="F264" s="62"/>
      <c r="G264" s="62"/>
    </row>
    <row r="265" spans="4:7" ht="9.75">
      <c r="D265" s="62"/>
      <c r="E265" s="62"/>
      <c r="F265" s="62"/>
      <c r="G265" s="62"/>
    </row>
    <row r="266" spans="4:7" ht="9.75">
      <c r="D266" s="62"/>
      <c r="E266" s="62"/>
      <c r="F266" s="62"/>
      <c r="G266" s="62"/>
    </row>
    <row r="267" spans="4:7" ht="9.75">
      <c r="D267" s="62"/>
      <c r="E267" s="62"/>
      <c r="F267" s="62"/>
      <c r="G267" s="62"/>
    </row>
    <row r="268" spans="4:7" ht="9.75">
      <c r="D268" s="62"/>
      <c r="E268" s="62"/>
      <c r="F268" s="62"/>
      <c r="G268" s="62"/>
    </row>
    <row r="269" spans="4:7" ht="9.75">
      <c r="D269" s="62"/>
      <c r="E269" s="62"/>
      <c r="F269" s="62"/>
      <c r="G269" s="62"/>
    </row>
    <row r="270" spans="4:7" ht="9.75">
      <c r="D270" s="62"/>
      <c r="E270" s="62"/>
      <c r="F270" s="62"/>
      <c r="G270" s="62"/>
    </row>
    <row r="271" spans="4:7" ht="9.75">
      <c r="D271" s="62"/>
      <c r="E271" s="62"/>
      <c r="F271" s="62"/>
      <c r="G271" s="62"/>
    </row>
    <row r="272" spans="4:7" ht="9.75">
      <c r="D272" s="62"/>
      <c r="E272" s="62"/>
      <c r="F272" s="62"/>
      <c r="G272" s="62"/>
    </row>
    <row r="273" spans="4:7" ht="9.75">
      <c r="D273" s="62"/>
      <c r="E273" s="62"/>
      <c r="F273" s="62"/>
      <c r="G273" s="62"/>
    </row>
    <row r="274" spans="4:7" ht="9.75">
      <c r="D274" s="62"/>
      <c r="E274" s="62"/>
      <c r="F274" s="62"/>
      <c r="G274" s="62"/>
    </row>
    <row r="275" spans="4:7" ht="9.75">
      <c r="D275" s="62"/>
      <c r="E275" s="62"/>
      <c r="F275" s="62"/>
      <c r="G275" s="62"/>
    </row>
    <row r="276" spans="4:7" ht="9.75">
      <c r="D276" s="62"/>
      <c r="E276" s="62"/>
      <c r="F276" s="62"/>
      <c r="G276" s="62"/>
    </row>
    <row r="277" spans="4:7" ht="9.75">
      <c r="D277" s="62"/>
      <c r="E277" s="62"/>
      <c r="F277" s="62"/>
      <c r="G277" s="62"/>
    </row>
    <row r="278" spans="4:7" ht="9.75">
      <c r="D278" s="62"/>
      <c r="E278" s="62"/>
      <c r="F278" s="62"/>
      <c r="G278" s="62"/>
    </row>
    <row r="279" spans="4:7" ht="9.75">
      <c r="D279" s="62"/>
      <c r="E279" s="62"/>
      <c r="F279" s="62"/>
      <c r="G279" s="62"/>
    </row>
    <row r="280" spans="4:7" ht="9.75">
      <c r="D280" s="62"/>
      <c r="E280" s="62"/>
      <c r="F280" s="62"/>
      <c r="G280" s="62"/>
    </row>
    <row r="281" spans="4:7" ht="9.75">
      <c r="D281" s="62"/>
      <c r="E281" s="62"/>
      <c r="F281" s="62"/>
      <c r="G281" s="62"/>
    </row>
    <row r="282" spans="4:7" ht="9.75">
      <c r="D282" s="62"/>
      <c r="E282" s="62"/>
      <c r="F282" s="62"/>
      <c r="G282" s="62"/>
    </row>
    <row r="283" spans="4:7" ht="9.75">
      <c r="D283" s="62"/>
      <c r="E283" s="62"/>
      <c r="F283" s="62"/>
      <c r="G283" s="62"/>
    </row>
    <row r="284" spans="4:7" ht="9.75">
      <c r="D284" s="62"/>
      <c r="E284" s="62"/>
      <c r="F284" s="62"/>
      <c r="G284" s="62"/>
    </row>
    <row r="285" spans="4:7" ht="9.75">
      <c r="D285" s="62"/>
      <c r="E285" s="62"/>
      <c r="F285" s="62"/>
      <c r="G285" s="62"/>
    </row>
    <row r="286" spans="4:7" ht="9.75">
      <c r="D286" s="62"/>
      <c r="E286" s="62"/>
      <c r="F286" s="62"/>
      <c r="G286" s="62"/>
    </row>
    <row r="287" spans="4:7" ht="9.75">
      <c r="D287" s="62"/>
      <c r="E287" s="62"/>
      <c r="F287" s="62"/>
      <c r="G287" s="62"/>
    </row>
    <row r="288" spans="4:7" ht="409.5">
      <c r="D288" s="62"/>
      <c r="E288" s="62"/>
      <c r="F288" s="62"/>
      <c r="G288" s="62"/>
    </row>
    <row r="289" spans="4:7" ht="9.75">
      <c r="D289" s="62"/>
      <c r="E289" s="62"/>
      <c r="F289" s="62"/>
      <c r="G289" s="62"/>
    </row>
    <row r="290" spans="4:7" ht="9.75">
      <c r="D290" s="62"/>
      <c r="E290" s="62"/>
      <c r="F290" s="62"/>
      <c r="G290" s="62"/>
    </row>
  </sheetData>
  <sheetProtection/>
  <printOptions/>
  <pageMargins left="0.75" right="0.75" top="1" bottom="1" header="0.5" footer="0.5"/>
  <pageSetup horizontalDpi="600" verticalDpi="600" orientation="landscape" scale="81" r:id="rId1"/>
  <rowBreaks count="3" manualBreakCount="3">
    <brk id="51" max="6" man="1"/>
    <brk id="97" max="6" man="1"/>
    <brk id="14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E75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22.7109375" style="21" customWidth="1"/>
    <col min="2" max="5" width="14.7109375" style="25" customWidth="1"/>
  </cols>
  <sheetData>
    <row r="2" spans="2:5" ht="12.75">
      <c r="B2" s="23"/>
      <c r="C2" s="23"/>
      <c r="D2" s="23"/>
      <c r="E2" s="23"/>
    </row>
    <row r="3" spans="1:5" ht="31.5" thickBot="1">
      <c r="A3" s="22" t="s">
        <v>234</v>
      </c>
      <c r="B3" s="22" t="s">
        <v>240</v>
      </c>
      <c r="C3" s="22" t="s">
        <v>235</v>
      </c>
      <c r="D3" s="22" t="s">
        <v>374</v>
      </c>
      <c r="E3" s="22" t="s">
        <v>241</v>
      </c>
    </row>
    <row r="4" spans="2:5" ht="12.75">
      <c r="B4" s="24"/>
      <c r="C4" s="24"/>
      <c r="D4" s="24"/>
      <c r="E4" s="24"/>
    </row>
    <row r="5" spans="1:5" ht="12.75">
      <c r="A5" s="21" t="s">
        <v>236</v>
      </c>
      <c r="B5" s="25">
        <v>127567.14477</v>
      </c>
      <c r="C5" s="25">
        <v>-876.448</v>
      </c>
      <c r="D5" s="25">
        <v>0</v>
      </c>
      <c r="E5" s="25">
        <f>B5+C5+D5</f>
        <v>126690.69677</v>
      </c>
    </row>
    <row r="7" spans="1:5" ht="12.75">
      <c r="A7" s="21" t="s">
        <v>237</v>
      </c>
      <c r="B7" s="25">
        <v>424333.67631</v>
      </c>
      <c r="C7" s="25">
        <v>-10990.281</v>
      </c>
      <c r="D7" s="25">
        <v>0</v>
      </c>
      <c r="E7" s="25">
        <f>B7+C7+D7</f>
        <v>413343.39531</v>
      </c>
    </row>
    <row r="9" spans="1:5" ht="12.75">
      <c r="A9" s="21" t="s">
        <v>52</v>
      </c>
      <c r="B9" s="25">
        <v>92864.61458</v>
      </c>
      <c r="C9" s="25">
        <v>-895.848</v>
      </c>
      <c r="D9" s="25">
        <v>0</v>
      </c>
      <c r="E9" s="25">
        <f>B9+C9+D9</f>
        <v>91968.76658</v>
      </c>
    </row>
    <row r="11" spans="1:5" ht="12.75">
      <c r="A11" s="21" t="s">
        <v>70</v>
      </c>
      <c r="B11" s="25">
        <v>6792.8555</v>
      </c>
      <c r="C11" s="25">
        <v>-104.764</v>
      </c>
      <c r="D11" s="25">
        <v>0</v>
      </c>
      <c r="E11" s="25">
        <f>B11+C11+D11</f>
        <v>6688.0914999999995</v>
      </c>
    </row>
    <row r="13" spans="1:5" ht="12.75">
      <c r="A13" s="21" t="s">
        <v>83</v>
      </c>
      <c r="B13" s="25">
        <v>53537.56695</v>
      </c>
      <c r="C13" s="25">
        <v>-340.056</v>
      </c>
      <c r="D13" s="25">
        <v>0</v>
      </c>
      <c r="E13" s="25">
        <f>B13+C13+D13</f>
        <v>53197.51095</v>
      </c>
    </row>
    <row r="15" spans="1:5" ht="12.75">
      <c r="A15" s="21" t="s">
        <v>105</v>
      </c>
      <c r="B15" s="25">
        <v>276538.94889</v>
      </c>
      <c r="C15" s="25">
        <v>-2512.163</v>
      </c>
      <c r="D15" s="25">
        <v>0</v>
      </c>
      <c r="E15" s="25">
        <f>B15+C15+D15</f>
        <v>274026.78589</v>
      </c>
    </row>
    <row r="17" spans="1:5" ht="12.75">
      <c r="A17" s="21" t="s">
        <v>129</v>
      </c>
      <c r="B17" s="25">
        <v>169467.56896</v>
      </c>
      <c r="C17" s="25">
        <v>2159.662</v>
      </c>
      <c r="D17" s="25">
        <v>0</v>
      </c>
      <c r="E17" s="25">
        <f>B17+C17+D17</f>
        <v>171627.23096000002</v>
      </c>
    </row>
    <row r="19" spans="1:5" ht="12.75">
      <c r="A19" s="21" t="s">
        <v>137</v>
      </c>
      <c r="B19" s="25">
        <v>17870.19115</v>
      </c>
      <c r="C19" s="25">
        <v>-182.988</v>
      </c>
      <c r="D19" s="25">
        <v>0</v>
      </c>
      <c r="E19" s="25">
        <f>B19+C19+D19</f>
        <v>17687.203149999998</v>
      </c>
    </row>
    <row r="21" spans="1:5" ht="12.75">
      <c r="A21" s="21" t="s">
        <v>147</v>
      </c>
      <c r="B21" s="25">
        <v>29526.00555</v>
      </c>
      <c r="C21" s="25">
        <v>0</v>
      </c>
      <c r="D21" s="25">
        <v>0</v>
      </c>
      <c r="E21" s="25">
        <f>B21+C21+D21</f>
        <v>29526.00555</v>
      </c>
    </row>
    <row r="23" spans="1:5" ht="13.5" thickBot="1">
      <c r="A23" s="21" t="s">
        <v>238</v>
      </c>
      <c r="B23" s="26">
        <v>366065.3749</v>
      </c>
      <c r="C23" s="26">
        <v>-59123.686</v>
      </c>
      <c r="D23" s="26">
        <f>12848.436</f>
        <v>12848.436</v>
      </c>
      <c r="E23" s="26">
        <f>B23+C23+D23</f>
        <v>319790.1249</v>
      </c>
    </row>
    <row r="24" spans="2:5" ht="12.75">
      <c r="B24" s="27"/>
      <c r="C24" s="27"/>
      <c r="D24" s="27"/>
      <c r="E24" s="27"/>
    </row>
    <row r="25" spans="1:5" ht="12.75">
      <c r="A25" s="21" t="s">
        <v>239</v>
      </c>
      <c r="B25" s="27">
        <f>SUM(B5:B24)</f>
        <v>1564563.94756</v>
      </c>
      <c r="C25" s="27">
        <f>SUM(C5:C24)</f>
        <v>-72866.572</v>
      </c>
      <c r="D25" s="27">
        <f>SUM(D5:D24)</f>
        <v>12848.436</v>
      </c>
      <c r="E25" s="27">
        <f>SUM(E5:E24)</f>
        <v>1504545.81156</v>
      </c>
    </row>
    <row r="26" ht="12.75">
      <c r="A26" s="21" t="s">
        <v>210</v>
      </c>
    </row>
    <row r="28" spans="3:4" ht="12.75">
      <c r="C28" s="25">
        <f>SUM(B25:C25)</f>
        <v>1491697.37556</v>
      </c>
      <c r="D28" s="25" t="s">
        <v>375</v>
      </c>
    </row>
    <row r="32" spans="2:5" ht="12.75">
      <c r="B32" s="23"/>
      <c r="C32" s="23"/>
      <c r="D32" s="23"/>
      <c r="E32" s="23"/>
    </row>
    <row r="33" spans="2:5" ht="12.75">
      <c r="B33" s="23"/>
      <c r="C33" s="23"/>
      <c r="D33" s="23"/>
      <c r="E33" s="23"/>
    </row>
    <row r="34" spans="2:5" ht="12.75">
      <c r="B34" s="24"/>
      <c r="C34" s="24"/>
      <c r="D34" s="24"/>
      <c r="E34" s="24"/>
    </row>
    <row r="35" spans="2:5" ht="12.75">
      <c r="B35" s="28"/>
      <c r="C35" s="28"/>
      <c r="D35" s="28"/>
      <c r="E35" s="28"/>
    </row>
    <row r="51" spans="2:5" ht="12.75">
      <c r="B51"/>
      <c r="C51"/>
      <c r="D51"/>
      <c r="E51"/>
    </row>
    <row r="52" spans="2:5" ht="12.75">
      <c r="B52"/>
      <c r="C52"/>
      <c r="D52"/>
      <c r="E52"/>
    </row>
    <row r="53" spans="2:5" ht="12.75">
      <c r="B53"/>
      <c r="C53"/>
      <c r="D53"/>
      <c r="E53"/>
    </row>
    <row r="54" spans="2:5" ht="12.75">
      <c r="B54"/>
      <c r="C54"/>
      <c r="D54"/>
      <c r="E54"/>
    </row>
    <row r="55" spans="2:5" ht="12.75">
      <c r="B55"/>
      <c r="C55"/>
      <c r="D55"/>
      <c r="E55"/>
    </row>
    <row r="56" spans="2:5" ht="12.75">
      <c r="B56"/>
      <c r="C56"/>
      <c r="D56"/>
      <c r="E56"/>
    </row>
    <row r="57" spans="2:5" ht="12.75">
      <c r="B57"/>
      <c r="C57"/>
      <c r="D57"/>
      <c r="E57"/>
    </row>
    <row r="62" spans="2:5" ht="12.75">
      <c r="B62" s="29"/>
      <c r="C62" s="29"/>
      <c r="D62" s="29"/>
      <c r="E62" s="29"/>
    </row>
    <row r="63" spans="2:5" ht="12.75">
      <c r="B63" s="29"/>
      <c r="C63" s="29"/>
      <c r="D63" s="29"/>
      <c r="E63" s="29"/>
    </row>
    <row r="64" spans="2:5" ht="12.75">
      <c r="B64" s="29"/>
      <c r="C64" s="29"/>
      <c r="D64" s="29"/>
      <c r="E64" s="29"/>
    </row>
    <row r="65" spans="2:5" ht="12.75">
      <c r="B65" s="29"/>
      <c r="C65" s="29"/>
      <c r="D65" s="29"/>
      <c r="E65" s="29"/>
    </row>
    <row r="66" spans="2:5" ht="12.75">
      <c r="B66" s="29"/>
      <c r="C66" s="29"/>
      <c r="D66" s="29"/>
      <c r="E66" s="29"/>
    </row>
    <row r="67" spans="2:5" ht="12.75">
      <c r="B67" s="29"/>
      <c r="C67" s="29"/>
      <c r="D67" s="29"/>
      <c r="E67" s="29"/>
    </row>
    <row r="68" spans="2:5" ht="12.75">
      <c r="B68" s="29"/>
      <c r="C68" s="29"/>
      <c r="D68" s="29"/>
      <c r="E68" s="29"/>
    </row>
    <row r="69" spans="2:5" ht="12.75">
      <c r="B69" s="29"/>
      <c r="C69" s="29"/>
      <c r="D69" s="29"/>
      <c r="E69" s="29"/>
    </row>
    <row r="70" spans="2:5" ht="12.75">
      <c r="B70" s="29"/>
      <c r="C70" s="29"/>
      <c r="D70" s="29"/>
      <c r="E70" s="29"/>
    </row>
    <row r="71" spans="2:5" ht="12.75">
      <c r="B71" s="29"/>
      <c r="C71" s="29"/>
      <c r="D71" s="29"/>
      <c r="E71" s="29"/>
    </row>
    <row r="73" spans="2:5" ht="12.75">
      <c r="B73" s="30"/>
      <c r="C73" s="30"/>
      <c r="D73" s="30"/>
      <c r="E73" s="30"/>
    </row>
    <row r="74" spans="2:5" ht="12.75">
      <c r="B74" s="30"/>
      <c r="C74" s="30"/>
      <c r="D74" s="30"/>
      <c r="E74" s="30"/>
    </row>
    <row r="75" spans="2:5" ht="12.75">
      <c r="B75" s="30"/>
      <c r="C75" s="30"/>
      <c r="D75" s="30"/>
      <c r="E7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A2" sqref="A1:A2"/>
    </sheetView>
  </sheetViews>
  <sheetFormatPr defaultColWidth="9.140625" defaultRowHeight="12.75"/>
  <cols>
    <col min="1" max="1" width="22.7109375" style="21" customWidth="1"/>
    <col min="2" max="5" width="14.7109375" style="25" customWidth="1"/>
  </cols>
  <sheetData>
    <row r="1" ht="15">
      <c r="A1" s="268" t="s">
        <v>1119</v>
      </c>
    </row>
    <row r="2" ht="15">
      <c r="A2" s="268" t="s">
        <v>1116</v>
      </c>
    </row>
    <row r="3" spans="2:5" ht="12.75">
      <c r="B3" s="23"/>
      <c r="C3" s="23"/>
      <c r="D3" s="23"/>
      <c r="E3" s="23"/>
    </row>
    <row r="4" spans="1:5" ht="31.5" thickBot="1">
      <c r="A4" s="22" t="s">
        <v>234</v>
      </c>
      <c r="B4" s="22" t="s">
        <v>527</v>
      </c>
      <c r="C4" s="22" t="s">
        <v>235</v>
      </c>
      <c r="D4" s="22" t="s">
        <v>374</v>
      </c>
      <c r="E4" s="22" t="s">
        <v>529</v>
      </c>
    </row>
    <row r="5" spans="2:5" ht="12.75">
      <c r="B5" s="24"/>
      <c r="C5" s="24"/>
      <c r="D5" s="24"/>
      <c r="E5" s="24"/>
    </row>
    <row r="6" spans="1:5" ht="12.75">
      <c r="A6" s="21" t="s">
        <v>236</v>
      </c>
      <c r="B6" s="25">
        <f>'2013 BM Detail'!G27/1000</f>
        <v>85366.025</v>
      </c>
      <c r="C6" s="25">
        <f>'2013 BM Detail'!H27</f>
        <v>0</v>
      </c>
      <c r="D6" s="25">
        <v>0</v>
      </c>
      <c r="E6" s="25">
        <f>B6+C6+D6</f>
        <v>85366.025</v>
      </c>
    </row>
    <row r="8" spans="1:5" ht="12.75">
      <c r="A8" s="21" t="s">
        <v>237</v>
      </c>
      <c r="B8" s="25">
        <f>'2013 BM Detail'!G57/1000</f>
        <v>406556.71379000007</v>
      </c>
      <c r="C8" s="25">
        <f>'2013 BM Detail'!H57</f>
        <v>0</v>
      </c>
      <c r="D8" s="25">
        <v>0</v>
      </c>
      <c r="E8" s="25">
        <f>B8+C8+D8</f>
        <v>406556.71379000007</v>
      </c>
    </row>
    <row r="10" spans="1:5" ht="12.75">
      <c r="A10" s="21" t="s">
        <v>52</v>
      </c>
      <c r="B10" s="25">
        <f>'2013 BM Detail'!G81/1000</f>
        <v>161143.40494</v>
      </c>
      <c r="C10" s="25">
        <f>'2013 BM Detail'!H81</f>
        <v>0</v>
      </c>
      <c r="D10" s="25">
        <v>0</v>
      </c>
      <c r="E10" s="25">
        <f>B10+C10+D10</f>
        <v>161143.40494</v>
      </c>
    </row>
    <row r="12" spans="1:5" ht="12.75">
      <c r="A12" s="21" t="s">
        <v>70</v>
      </c>
      <c r="B12" s="25">
        <f>'2013 BM Detail'!G93/1000</f>
        <v>6299.19356</v>
      </c>
      <c r="C12" s="25">
        <f>'2013 BM Detail'!H93</f>
        <v>0</v>
      </c>
      <c r="D12" s="25">
        <v>0</v>
      </c>
      <c r="E12" s="25">
        <f>B12+C12+D12</f>
        <v>6299.19356</v>
      </c>
    </row>
    <row r="14" spans="1:5" ht="12.75">
      <c r="A14" s="21" t="s">
        <v>83</v>
      </c>
      <c r="B14" s="25">
        <f>'2013 BM Detail'!G117/1000</f>
        <v>47189.46297000001</v>
      </c>
      <c r="C14" s="25">
        <f>'2013 BM Detail'!H117</f>
        <v>0</v>
      </c>
      <c r="D14" s="25">
        <v>0</v>
      </c>
      <c r="E14" s="25">
        <f>B14+C14+D14</f>
        <v>47189.46297000001</v>
      </c>
    </row>
    <row r="16" spans="1:5" ht="12.75">
      <c r="A16" s="21" t="s">
        <v>105</v>
      </c>
      <c r="B16" s="25">
        <f>'2013 BM Detail'!G142/1000</f>
        <v>286662.71492999996</v>
      </c>
      <c r="C16" s="25">
        <f>'2013 BM Detail'!H142</f>
        <v>0</v>
      </c>
      <c r="D16" s="25">
        <f>'2013 BM Detail'!I142/1000</f>
        <v>-560.232</v>
      </c>
      <c r="E16" s="25">
        <f>B16+C16+D16</f>
        <v>286102.48292999994</v>
      </c>
    </row>
    <row r="18" spans="1:5" ht="12.75">
      <c r="A18" s="21" t="s">
        <v>129</v>
      </c>
      <c r="B18" s="25">
        <f>'2013 BM Detail'!G152/1000</f>
        <v>149953.77086000002</v>
      </c>
      <c r="C18" s="25">
        <f>'2013 BM Detail'!H152</f>
        <v>0</v>
      </c>
      <c r="D18" s="25">
        <v>0</v>
      </c>
      <c r="E18" s="25">
        <f>B18+C18+D18</f>
        <v>149953.77086000002</v>
      </c>
    </row>
    <row r="20" spans="1:5" ht="12.75">
      <c r="A20" s="21" t="s">
        <v>137</v>
      </c>
      <c r="B20" s="25">
        <f>'2013 BM Detail'!G164/1000</f>
        <v>12851.16955</v>
      </c>
      <c r="C20" s="25">
        <f>'2013 BM Detail'!H164</f>
        <v>0</v>
      </c>
      <c r="D20" s="25">
        <v>0</v>
      </c>
      <c r="E20" s="25">
        <f>B20+C20+D20</f>
        <v>12851.16955</v>
      </c>
    </row>
    <row r="22" spans="1:5" ht="12.75">
      <c r="A22" s="21" t="s">
        <v>147</v>
      </c>
      <c r="B22" s="25">
        <f>'2013 BM Detail'!G170/1000</f>
        <v>15169.93861</v>
      </c>
      <c r="C22" s="25">
        <f>'2013 BM Detail'!H170</f>
        <v>0</v>
      </c>
      <c r="D22" s="25">
        <v>0</v>
      </c>
      <c r="E22" s="25">
        <f>B22+C22+D22</f>
        <v>15169.93861</v>
      </c>
    </row>
    <row r="24" spans="1:5" ht="13.5" thickBot="1">
      <c r="A24" s="21" t="s">
        <v>238</v>
      </c>
      <c r="B24" s="26">
        <f>'2013 BM Detail'!G215/1000</f>
        <v>391758.23789</v>
      </c>
      <c r="C24" s="26">
        <f>'2013 BM Detail'!H215/1000</f>
        <v>-2724.7005196714285</v>
      </c>
      <c r="D24" s="26">
        <f>'2013 BM Detail'!I215/1000</f>
        <v>-724.4046600000001</v>
      </c>
      <c r="E24" s="26">
        <f>B24+C24+D24</f>
        <v>388309.13271032856</v>
      </c>
    </row>
    <row r="25" spans="2:5" ht="12.75">
      <c r="B25" s="27"/>
      <c r="C25" s="27"/>
      <c r="D25" s="27"/>
      <c r="E25" s="27"/>
    </row>
    <row r="26" spans="1:5" ht="12.75">
      <c r="A26" s="21" t="s">
        <v>239</v>
      </c>
      <c r="B26" s="27">
        <f>SUM(B6:B25)</f>
        <v>1562950.6321000003</v>
      </c>
      <c r="C26" s="27">
        <f>SUM(C6:C25)</f>
        <v>-2724.7005196714285</v>
      </c>
      <c r="D26" s="27">
        <f>SUM(D6:D25)</f>
        <v>-1284.6366600000001</v>
      </c>
      <c r="E26" s="27">
        <f>SUM(E6:E25)</f>
        <v>1558941.2949203288</v>
      </c>
    </row>
    <row r="27" ht="12.75">
      <c r="A27" s="21" t="s">
        <v>210</v>
      </c>
    </row>
    <row r="29" spans="3:4" ht="12.75">
      <c r="C29" s="210" t="b">
        <f>(B26+C26+D26)=('2013 BM Detail'!J217/1000)</f>
        <v>1</v>
      </c>
      <c r="D29" s="4" t="s">
        <v>528</v>
      </c>
    </row>
    <row r="33" spans="2:5" ht="12.75">
      <c r="B33" s="23"/>
      <c r="C33" s="23"/>
      <c r="D33" s="23"/>
      <c r="E33" s="23"/>
    </row>
    <row r="34" spans="2:5" ht="12.75">
      <c r="B34" s="23"/>
      <c r="C34" s="23"/>
      <c r="D34" s="23"/>
      <c r="E34" s="23"/>
    </row>
    <row r="35" spans="2:5" ht="12.75">
      <c r="B35" s="24"/>
      <c r="C35" s="24"/>
      <c r="D35" s="24"/>
      <c r="E35" s="24"/>
    </row>
    <row r="36" spans="2:5" ht="409.5">
      <c r="B36" s="28"/>
      <c r="C36" s="28"/>
      <c r="D36" s="28"/>
      <c r="E36" s="28"/>
    </row>
    <row r="52" spans="2:5" ht="12.75">
      <c r="B52"/>
      <c r="C52"/>
      <c r="D52"/>
      <c r="E52"/>
    </row>
    <row r="53" spans="2:5" ht="12.75">
      <c r="B53"/>
      <c r="C53"/>
      <c r="D53"/>
      <c r="E53"/>
    </row>
    <row r="54" spans="2:5" ht="12.75">
      <c r="B54"/>
      <c r="C54"/>
      <c r="D54"/>
      <c r="E54"/>
    </row>
    <row r="55" spans="2:5" ht="12.75">
      <c r="B55"/>
      <c r="C55"/>
      <c r="D55"/>
      <c r="E55"/>
    </row>
    <row r="56" spans="2:5" ht="12.75">
      <c r="B56"/>
      <c r="C56"/>
      <c r="D56"/>
      <c r="E56"/>
    </row>
    <row r="57" spans="2:5" ht="12.75">
      <c r="B57"/>
      <c r="C57"/>
      <c r="D57"/>
      <c r="E57"/>
    </row>
    <row r="58" spans="2:5" ht="409.5">
      <c r="B58"/>
      <c r="C58"/>
      <c r="D58"/>
      <c r="E58"/>
    </row>
    <row r="63" spans="2:5" ht="12.75">
      <c r="B63" s="29"/>
      <c r="C63" s="29"/>
      <c r="D63" s="29"/>
      <c r="E63" s="29"/>
    </row>
    <row r="64" spans="2:5" ht="12.75">
      <c r="B64" s="29"/>
      <c r="C64" s="29"/>
      <c r="D64" s="29"/>
      <c r="E64" s="29"/>
    </row>
    <row r="65" spans="2:5" ht="12.75">
      <c r="B65" s="29"/>
      <c r="C65" s="29"/>
      <c r="D65" s="29"/>
      <c r="E65" s="29"/>
    </row>
    <row r="66" spans="2:5" ht="12.75">
      <c r="B66" s="29"/>
      <c r="C66" s="29"/>
      <c r="D66" s="29"/>
      <c r="E66" s="29"/>
    </row>
    <row r="67" spans="2:5" ht="12.75">
      <c r="B67" s="29"/>
      <c r="C67" s="29"/>
      <c r="D67" s="29"/>
      <c r="E67" s="29"/>
    </row>
    <row r="68" spans="2:5" ht="12.75">
      <c r="B68" s="29"/>
      <c r="C68" s="29"/>
      <c r="D68" s="29"/>
      <c r="E68" s="29"/>
    </row>
    <row r="69" spans="2:5" ht="12.75">
      <c r="B69" s="29"/>
      <c r="C69" s="29"/>
      <c r="D69" s="29"/>
      <c r="E69" s="29"/>
    </row>
    <row r="70" spans="2:5" ht="12.75">
      <c r="B70" s="29"/>
      <c r="C70" s="29"/>
      <c r="D70" s="29"/>
      <c r="E70" s="29"/>
    </row>
    <row r="71" spans="2:5" ht="12.75">
      <c r="B71" s="29"/>
      <c r="C71" s="29"/>
      <c r="D71" s="29"/>
      <c r="E71" s="29"/>
    </row>
    <row r="72" spans="2:5" ht="409.5">
      <c r="B72" s="29"/>
      <c r="C72" s="29"/>
      <c r="D72" s="29"/>
      <c r="E72" s="29"/>
    </row>
    <row r="74" spans="2:5" ht="12.75">
      <c r="B74" s="30"/>
      <c r="C74" s="30"/>
      <c r="D74" s="30"/>
      <c r="E74" s="30"/>
    </row>
    <row r="75" spans="2:5" ht="12.75">
      <c r="B75" s="30"/>
      <c r="C75" s="30"/>
      <c r="D75" s="30"/>
      <c r="E75" s="30"/>
    </row>
    <row r="76" spans="2:5" ht="12.75">
      <c r="B76" s="30"/>
      <c r="C76" s="30"/>
      <c r="D76" s="30"/>
      <c r="E76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03"/>
  <sheetViews>
    <sheetView zoomScalePageLayoutView="0" workbookViewId="0" topLeftCell="A1">
      <pane xSplit="1" ySplit="2" topLeftCell="B183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H200" sqref="H200"/>
    </sheetView>
  </sheetViews>
  <sheetFormatPr defaultColWidth="9.140625" defaultRowHeight="12.75"/>
  <cols>
    <col min="1" max="1" width="57.00390625" style="3" customWidth="1"/>
    <col min="2" max="2" width="8.57421875" style="11" bestFit="1" customWidth="1"/>
    <col min="3" max="7" width="11.7109375" style="4" customWidth="1"/>
    <col min="8" max="8" width="12.7109375" style="4" customWidth="1"/>
    <col min="9" max="9" width="11.7109375" style="4" customWidth="1"/>
    <col min="10" max="16384" width="9.140625" style="3" customWidth="1"/>
  </cols>
  <sheetData>
    <row r="2" spans="1:9" ht="21" thickBot="1">
      <c r="A2" s="15" t="s">
        <v>0</v>
      </c>
      <c r="B2" s="43" t="s">
        <v>265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192</v>
      </c>
      <c r="I2" s="16" t="s">
        <v>193</v>
      </c>
    </row>
    <row r="3" spans="1:9" ht="9.75">
      <c r="A3" s="17"/>
      <c r="B3" s="44"/>
      <c r="C3" s="18"/>
      <c r="D3" s="18"/>
      <c r="E3" s="18"/>
      <c r="F3" s="18"/>
      <c r="G3" s="18"/>
      <c r="H3" s="18"/>
      <c r="I3" s="18"/>
    </row>
    <row r="4" spans="1:2" ht="10.5" thickBot="1">
      <c r="A4" s="15" t="s">
        <v>6</v>
      </c>
      <c r="B4" s="44"/>
    </row>
    <row r="5" spans="1:9" ht="9.75">
      <c r="A5" s="1" t="s">
        <v>7</v>
      </c>
      <c r="B5" s="45" t="s">
        <v>267</v>
      </c>
      <c r="C5" s="5">
        <v>7973005.77</v>
      </c>
      <c r="D5" s="5"/>
      <c r="E5" s="5">
        <v>7973005.77</v>
      </c>
      <c r="F5" s="5"/>
      <c r="G5" s="5">
        <f>E5+F5</f>
        <v>7973005.77</v>
      </c>
      <c r="H5" s="5">
        <f>-15520589*0.05647</f>
        <v>-876447.66083</v>
      </c>
      <c r="I5" s="5">
        <f>G5+H5</f>
        <v>7096558.109169999</v>
      </c>
    </row>
    <row r="6" spans="1:9" ht="9.75">
      <c r="A6" s="1" t="s">
        <v>8</v>
      </c>
      <c r="B6" s="45" t="s">
        <v>268</v>
      </c>
      <c r="C6" s="5">
        <v>1463029273.39</v>
      </c>
      <c r="D6" s="5">
        <v>-1463029273.39</v>
      </c>
      <c r="E6" s="5">
        <v>0</v>
      </c>
      <c r="F6" s="5"/>
      <c r="G6" s="5">
        <f>E6+F6</f>
        <v>0</v>
      </c>
      <c r="H6" s="5"/>
      <c r="I6" s="5">
        <f>G6+H6</f>
        <v>0</v>
      </c>
    </row>
    <row r="7" spans="1:9" ht="9.75">
      <c r="A7" s="1" t="s">
        <v>9</v>
      </c>
      <c r="B7" s="45" t="s">
        <v>268</v>
      </c>
      <c r="C7" s="5">
        <v>13953936.6</v>
      </c>
      <c r="D7" s="5"/>
      <c r="E7" s="5">
        <v>13953936.6</v>
      </c>
      <c r="F7" s="5">
        <f>-E7</f>
        <v>-13953936.6</v>
      </c>
      <c r="G7" s="5">
        <f aca="true" t="shared" si="0" ref="G7:G23">E7+F7</f>
        <v>0</v>
      </c>
      <c r="H7" s="5"/>
      <c r="I7" s="5">
        <f aca="true" t="shared" si="1" ref="I7:I23">G7+H7</f>
        <v>0</v>
      </c>
    </row>
    <row r="8" spans="1:9" ht="9.75">
      <c r="A8" s="1" t="s">
        <v>10</v>
      </c>
      <c r="B8" s="45" t="s">
        <v>269</v>
      </c>
      <c r="C8" s="5">
        <v>7322364.57</v>
      </c>
      <c r="D8" s="5"/>
      <c r="E8" s="5">
        <v>7322364.57</v>
      </c>
      <c r="F8" s="5"/>
      <c r="G8" s="5">
        <f t="shared" si="0"/>
        <v>7322364.57</v>
      </c>
      <c r="H8" s="5"/>
      <c r="I8" s="5">
        <f t="shared" si="1"/>
        <v>7322364.57</v>
      </c>
    </row>
    <row r="9" spans="1:9" ht="9.75">
      <c r="A9" s="1" t="s">
        <v>11</v>
      </c>
      <c r="B9" s="45" t="s">
        <v>270</v>
      </c>
      <c r="C9" s="5">
        <v>3346011.09</v>
      </c>
      <c r="D9" s="5"/>
      <c r="E9" s="5">
        <v>3346011.09</v>
      </c>
      <c r="F9" s="5"/>
      <c r="G9" s="5">
        <f t="shared" si="0"/>
        <v>3346011.09</v>
      </c>
      <c r="H9" s="5"/>
      <c r="I9" s="5">
        <f t="shared" si="1"/>
        <v>3346011.09</v>
      </c>
    </row>
    <row r="10" spans="1:9" ht="9.75">
      <c r="A10" s="1" t="s">
        <v>266</v>
      </c>
      <c r="B10" s="45" t="s">
        <v>271</v>
      </c>
      <c r="C10" s="5">
        <v>28011990.36</v>
      </c>
      <c r="D10" s="5"/>
      <c r="E10" s="5">
        <v>28011990.36</v>
      </c>
      <c r="F10" s="5"/>
      <c r="G10" s="5">
        <f t="shared" si="0"/>
        <v>28011990.36</v>
      </c>
      <c r="H10" s="5"/>
      <c r="I10" s="5">
        <f t="shared" si="1"/>
        <v>28011990.36</v>
      </c>
    </row>
    <row r="11" spans="1:9" ht="9.75">
      <c r="A11" s="1" t="s">
        <v>12</v>
      </c>
      <c r="B11" s="45" t="s">
        <v>271</v>
      </c>
      <c r="C11" s="5">
        <v>8561705.71</v>
      </c>
      <c r="D11" s="5">
        <v>-8561705.71</v>
      </c>
      <c r="E11" s="5">
        <v>0</v>
      </c>
      <c r="F11" s="5"/>
      <c r="G11" s="5">
        <f t="shared" si="0"/>
        <v>0</v>
      </c>
      <c r="H11" s="5"/>
      <c r="I11" s="5">
        <f t="shared" si="1"/>
        <v>0</v>
      </c>
    </row>
    <row r="12" spans="1:9" ht="9.75">
      <c r="A12" s="1" t="s">
        <v>13</v>
      </c>
      <c r="B12" s="45" t="s">
        <v>271</v>
      </c>
      <c r="C12" s="5">
        <v>1071150.9</v>
      </c>
      <c r="D12" s="5">
        <v>-1071150.9</v>
      </c>
      <c r="E12" s="5">
        <v>0</v>
      </c>
      <c r="F12" s="5"/>
      <c r="G12" s="5">
        <f t="shared" si="0"/>
        <v>0</v>
      </c>
      <c r="H12" s="5"/>
      <c r="I12" s="5">
        <f t="shared" si="1"/>
        <v>0</v>
      </c>
    </row>
    <row r="13" spans="1:9" ht="9.75">
      <c r="A13" s="1" t="s">
        <v>14</v>
      </c>
      <c r="B13" s="45">
        <v>507</v>
      </c>
      <c r="C13" s="5">
        <v>8210.04</v>
      </c>
      <c r="D13" s="5"/>
      <c r="E13" s="5">
        <v>8210.04</v>
      </c>
      <c r="F13" s="5"/>
      <c r="G13" s="5">
        <f t="shared" si="0"/>
        <v>8210.04</v>
      </c>
      <c r="H13" s="5"/>
      <c r="I13" s="5">
        <f t="shared" si="1"/>
        <v>8210.04</v>
      </c>
    </row>
    <row r="14" spans="1:9" ht="9.75">
      <c r="A14" s="1" t="s">
        <v>15</v>
      </c>
      <c r="B14" s="45">
        <v>509</v>
      </c>
      <c r="C14" s="5">
        <v>0</v>
      </c>
      <c r="D14" s="5">
        <v>0</v>
      </c>
      <c r="E14" s="5">
        <v>0</v>
      </c>
      <c r="F14" s="5"/>
      <c r="G14" s="5">
        <f t="shared" si="0"/>
        <v>0</v>
      </c>
      <c r="H14" s="5"/>
      <c r="I14" s="5">
        <f t="shared" si="1"/>
        <v>0</v>
      </c>
    </row>
    <row r="15" spans="1:9" ht="9.75">
      <c r="A15" s="1" t="s">
        <v>16</v>
      </c>
      <c r="B15" s="45">
        <v>510</v>
      </c>
      <c r="C15" s="5">
        <v>8687633.57</v>
      </c>
      <c r="D15" s="5"/>
      <c r="E15" s="5">
        <v>8687633.57</v>
      </c>
      <c r="F15" s="5"/>
      <c r="G15" s="5">
        <f t="shared" si="0"/>
        <v>8687633.57</v>
      </c>
      <c r="H15" s="5"/>
      <c r="I15" s="5">
        <f t="shared" si="1"/>
        <v>8687633.57</v>
      </c>
    </row>
    <row r="16" spans="1:9" ht="9.75">
      <c r="A16" s="1" t="s">
        <v>17</v>
      </c>
      <c r="B16" s="45">
        <v>511</v>
      </c>
      <c r="C16" s="5">
        <v>7602127.62</v>
      </c>
      <c r="D16" s="5"/>
      <c r="E16" s="5">
        <v>7602127.62</v>
      </c>
      <c r="F16" s="5"/>
      <c r="G16" s="5">
        <f t="shared" si="0"/>
        <v>7602127.62</v>
      </c>
      <c r="H16" s="5"/>
      <c r="I16" s="5">
        <f t="shared" si="1"/>
        <v>7602127.62</v>
      </c>
    </row>
    <row r="17" spans="1:9" ht="9.75">
      <c r="A17" s="1" t="s">
        <v>18</v>
      </c>
      <c r="B17" s="45">
        <v>511</v>
      </c>
      <c r="C17" s="5">
        <v>670444.9</v>
      </c>
      <c r="D17" s="5">
        <v>-670444.9</v>
      </c>
      <c r="E17" s="5">
        <v>0</v>
      </c>
      <c r="F17" s="5"/>
      <c r="G17" s="5">
        <f t="shared" si="0"/>
        <v>0</v>
      </c>
      <c r="H17" s="5"/>
      <c r="I17" s="5">
        <f t="shared" si="1"/>
        <v>0</v>
      </c>
    </row>
    <row r="18" spans="1:9" ht="9.75">
      <c r="A18" s="1" t="s">
        <v>19</v>
      </c>
      <c r="B18" s="45">
        <v>511</v>
      </c>
      <c r="C18" s="5">
        <v>0</v>
      </c>
      <c r="D18" s="5">
        <v>0</v>
      </c>
      <c r="E18" s="5">
        <v>0</v>
      </c>
      <c r="F18" s="5"/>
      <c r="G18" s="5">
        <f t="shared" si="0"/>
        <v>0</v>
      </c>
      <c r="H18" s="5"/>
      <c r="I18" s="5">
        <f t="shared" si="1"/>
        <v>0</v>
      </c>
    </row>
    <row r="19" spans="1:9" ht="9.75">
      <c r="A19" s="1" t="s">
        <v>20</v>
      </c>
      <c r="B19" s="45">
        <v>512</v>
      </c>
      <c r="C19" s="5">
        <v>45618075.2</v>
      </c>
      <c r="D19" s="5"/>
      <c r="E19" s="5">
        <v>45618075.2</v>
      </c>
      <c r="F19" s="5"/>
      <c r="G19" s="5">
        <f t="shared" si="0"/>
        <v>45618075.2</v>
      </c>
      <c r="H19" s="5"/>
      <c r="I19" s="5">
        <f t="shared" si="1"/>
        <v>45618075.2</v>
      </c>
    </row>
    <row r="20" spans="1:9" ht="9.75">
      <c r="A20" s="1" t="s">
        <v>21</v>
      </c>
      <c r="B20" s="45">
        <v>512</v>
      </c>
      <c r="C20" s="5">
        <v>2724444.74</v>
      </c>
      <c r="D20" s="5">
        <v>-2724444.74</v>
      </c>
      <c r="E20" s="5">
        <v>0</v>
      </c>
      <c r="F20" s="5"/>
      <c r="G20" s="5">
        <f t="shared" si="0"/>
        <v>0</v>
      </c>
      <c r="H20" s="5"/>
      <c r="I20" s="5">
        <f t="shared" si="1"/>
        <v>0</v>
      </c>
    </row>
    <row r="21" spans="1:9" ht="9.75">
      <c r="A21" s="1" t="s">
        <v>22</v>
      </c>
      <c r="B21" s="45">
        <v>513</v>
      </c>
      <c r="C21" s="5">
        <v>12321286.15</v>
      </c>
      <c r="D21" s="5"/>
      <c r="E21" s="5">
        <v>12321286.15</v>
      </c>
      <c r="F21" s="5"/>
      <c r="G21" s="5">
        <f t="shared" si="0"/>
        <v>12321286.15</v>
      </c>
      <c r="H21" s="5"/>
      <c r="I21" s="5">
        <f t="shared" si="1"/>
        <v>12321286.15</v>
      </c>
    </row>
    <row r="22" spans="1:9" ht="9.75">
      <c r="A22" s="1" t="s">
        <v>23</v>
      </c>
      <c r="B22" s="45">
        <v>514</v>
      </c>
      <c r="C22" s="5">
        <v>6676440.4</v>
      </c>
      <c r="D22" s="5"/>
      <c r="E22" s="5">
        <v>6676440.4</v>
      </c>
      <c r="F22" s="5"/>
      <c r="G22" s="5">
        <f t="shared" si="0"/>
        <v>6676440.4</v>
      </c>
      <c r="H22" s="5"/>
      <c r="I22" s="5">
        <f t="shared" si="1"/>
        <v>6676440.4</v>
      </c>
    </row>
    <row r="23" spans="1:9" ht="10.5" thickBot="1">
      <c r="A23" s="1" t="s">
        <v>24</v>
      </c>
      <c r="B23" s="45">
        <v>514</v>
      </c>
      <c r="C23" s="5">
        <v>369218.25</v>
      </c>
      <c r="D23" s="5">
        <v>-369218.25</v>
      </c>
      <c r="E23" s="5">
        <v>0</v>
      </c>
      <c r="F23" s="5"/>
      <c r="G23" s="5">
        <f t="shared" si="0"/>
        <v>0</v>
      </c>
      <c r="H23" s="5"/>
      <c r="I23" s="5">
        <f t="shared" si="1"/>
        <v>0</v>
      </c>
    </row>
    <row r="24" spans="1:9" ht="9.75">
      <c r="A24" s="1" t="s">
        <v>25</v>
      </c>
      <c r="B24" s="45"/>
      <c r="C24" s="6">
        <f aca="true" t="shared" si="2" ref="C24:I24">SUM(C5:C23)</f>
        <v>1617947319.26</v>
      </c>
      <c r="D24" s="6">
        <f t="shared" si="2"/>
        <v>-1476426237.8900003</v>
      </c>
      <c r="E24" s="6">
        <f t="shared" si="2"/>
        <v>141521081.37</v>
      </c>
      <c r="F24" s="6">
        <f>SUM(F5:F23)</f>
        <v>-13953936.6</v>
      </c>
      <c r="G24" s="19">
        <f t="shared" si="2"/>
        <v>127567144.77000001</v>
      </c>
      <c r="H24" s="6">
        <f t="shared" si="2"/>
        <v>-876447.66083</v>
      </c>
      <c r="I24" s="19">
        <f t="shared" si="2"/>
        <v>126690697.10917002</v>
      </c>
    </row>
    <row r="25" spans="1:9" ht="9.75">
      <c r="A25" s="1"/>
      <c r="B25" s="45"/>
      <c r="C25" s="5"/>
      <c r="D25" s="5"/>
      <c r="E25" s="5"/>
      <c r="F25" s="5"/>
      <c r="G25" s="5"/>
      <c r="H25" s="5"/>
      <c r="I25" s="5"/>
    </row>
    <row r="26" spans="1:9" ht="10.5" thickBot="1">
      <c r="A26" s="15" t="s">
        <v>26</v>
      </c>
      <c r="B26" s="44"/>
      <c r="C26" s="5"/>
      <c r="D26" s="5"/>
      <c r="E26" s="5"/>
      <c r="F26" s="5"/>
      <c r="G26" s="5"/>
      <c r="H26" s="5"/>
      <c r="I26" s="5"/>
    </row>
    <row r="27" spans="1:9" ht="9.75">
      <c r="A27" s="1" t="s">
        <v>27</v>
      </c>
      <c r="B27" s="45">
        <v>517</v>
      </c>
      <c r="C27" s="5">
        <v>146266861.58</v>
      </c>
      <c r="D27" s="5"/>
      <c r="E27" s="5">
        <v>146266861.58</v>
      </c>
      <c r="F27" s="5"/>
      <c r="G27" s="5">
        <f>E27+F27</f>
        <v>146266861.58</v>
      </c>
      <c r="H27" s="5">
        <f>-15520589*0.31145</f>
        <v>-4833887.44405</v>
      </c>
      <c r="I27" s="5">
        <f>G27+H27</f>
        <v>141432974.13595</v>
      </c>
    </row>
    <row r="28" spans="1:9" ht="9.75">
      <c r="A28" s="1" t="s">
        <v>28</v>
      </c>
      <c r="B28" s="45">
        <v>518</v>
      </c>
      <c r="C28" s="5">
        <v>156342823</v>
      </c>
      <c r="D28" s="5">
        <v>-156342823</v>
      </c>
      <c r="E28" s="5">
        <v>0</v>
      </c>
      <c r="F28" s="5"/>
      <c r="G28" s="5">
        <f>E28+F28</f>
        <v>0</v>
      </c>
      <c r="H28" s="5"/>
      <c r="I28" s="5">
        <f>G28+H28</f>
        <v>0</v>
      </c>
    </row>
    <row r="29" spans="1:9" ht="9.75">
      <c r="A29" s="1" t="s">
        <v>29</v>
      </c>
      <c r="B29" s="45">
        <v>518</v>
      </c>
      <c r="C29" s="5">
        <v>20393270</v>
      </c>
      <c r="D29" s="5">
        <v>-20393270</v>
      </c>
      <c r="E29" s="5">
        <v>0</v>
      </c>
      <c r="F29" s="5"/>
      <c r="G29" s="5">
        <f aca="true" t="shared" si="3" ref="G29:G50">E29+F29</f>
        <v>0</v>
      </c>
      <c r="H29" s="5"/>
      <c r="I29" s="5">
        <f aca="true" t="shared" si="4" ref="I29:I51">G29+H29</f>
        <v>0</v>
      </c>
    </row>
    <row r="30" spans="1:9" ht="9.75">
      <c r="A30" s="1" t="s">
        <v>30</v>
      </c>
      <c r="B30" s="45">
        <v>518</v>
      </c>
      <c r="C30" s="5">
        <v>39186861.93</v>
      </c>
      <c r="D30" s="5">
        <v>-39186861.93</v>
      </c>
      <c r="E30" s="5">
        <v>0</v>
      </c>
      <c r="F30" s="5"/>
      <c r="G30" s="5">
        <f t="shared" si="3"/>
        <v>0</v>
      </c>
      <c r="H30" s="5"/>
      <c r="I30" s="5">
        <f t="shared" si="4"/>
        <v>0</v>
      </c>
    </row>
    <row r="31" spans="1:9" ht="9.75">
      <c r="A31" s="1" t="s">
        <v>31</v>
      </c>
      <c r="B31" s="45">
        <v>518</v>
      </c>
      <c r="C31" s="5">
        <v>0</v>
      </c>
      <c r="D31" s="5">
        <v>0</v>
      </c>
      <c r="E31" s="5">
        <v>0</v>
      </c>
      <c r="F31" s="5"/>
      <c r="G31" s="5">
        <f t="shared" si="3"/>
        <v>0</v>
      </c>
      <c r="H31" s="5"/>
      <c r="I31" s="5">
        <f t="shared" si="4"/>
        <v>0</v>
      </c>
    </row>
    <row r="32" spans="1:9" ht="9.75">
      <c r="A32" s="1" t="s">
        <v>32</v>
      </c>
      <c r="B32" s="45">
        <v>518</v>
      </c>
      <c r="C32" s="5">
        <v>0</v>
      </c>
      <c r="D32" s="5">
        <v>0</v>
      </c>
      <c r="E32" s="5">
        <v>0</v>
      </c>
      <c r="F32" s="5"/>
      <c r="G32" s="5">
        <f t="shared" si="3"/>
        <v>0</v>
      </c>
      <c r="H32" s="5"/>
      <c r="I32" s="5">
        <f t="shared" si="4"/>
        <v>0</v>
      </c>
    </row>
    <row r="33" spans="1:9" ht="9.75">
      <c r="A33" s="1" t="s">
        <v>33</v>
      </c>
      <c r="B33" s="45">
        <v>518</v>
      </c>
      <c r="C33" s="5">
        <v>0</v>
      </c>
      <c r="D33" s="5">
        <v>0</v>
      </c>
      <c r="E33" s="5">
        <v>0</v>
      </c>
      <c r="F33" s="5"/>
      <c r="G33" s="5">
        <f t="shared" si="3"/>
        <v>0</v>
      </c>
      <c r="H33" s="5"/>
      <c r="I33" s="5">
        <f t="shared" si="4"/>
        <v>0</v>
      </c>
    </row>
    <row r="34" spans="1:9" ht="9.75">
      <c r="A34" s="1" t="s">
        <v>34</v>
      </c>
      <c r="B34" s="45">
        <v>518</v>
      </c>
      <c r="C34" s="5">
        <v>0</v>
      </c>
      <c r="D34" s="5">
        <v>0</v>
      </c>
      <c r="E34" s="5">
        <v>0</v>
      </c>
      <c r="F34" s="5"/>
      <c r="G34" s="5">
        <f t="shared" si="3"/>
        <v>0</v>
      </c>
      <c r="H34" s="5"/>
      <c r="I34" s="5">
        <f t="shared" si="4"/>
        <v>0</v>
      </c>
    </row>
    <row r="35" spans="1:9" ht="9.75">
      <c r="A35" s="1" t="s">
        <v>35</v>
      </c>
      <c r="B35" s="45">
        <v>518</v>
      </c>
      <c r="C35" s="5">
        <v>0</v>
      </c>
      <c r="D35" s="5">
        <v>0</v>
      </c>
      <c r="E35" s="5">
        <v>0</v>
      </c>
      <c r="F35" s="5"/>
      <c r="G35" s="5">
        <f t="shared" si="3"/>
        <v>0</v>
      </c>
      <c r="H35" s="5"/>
      <c r="I35" s="5">
        <f t="shared" si="4"/>
        <v>0</v>
      </c>
    </row>
    <row r="36" spans="1:9" ht="9.75">
      <c r="A36" s="1" t="s">
        <v>36</v>
      </c>
      <c r="B36" s="45">
        <v>518</v>
      </c>
      <c r="C36" s="5">
        <v>4775916</v>
      </c>
      <c r="D36" s="5"/>
      <c r="E36" s="5">
        <v>4775916</v>
      </c>
      <c r="F36" s="5">
        <f>-E36</f>
        <v>-4775916</v>
      </c>
      <c r="G36" s="5">
        <f t="shared" si="3"/>
        <v>0</v>
      </c>
      <c r="H36" s="5"/>
      <c r="I36" s="5">
        <f t="shared" si="4"/>
        <v>0</v>
      </c>
    </row>
    <row r="37" spans="1:9" ht="9.75">
      <c r="A37" s="1" t="s">
        <v>37</v>
      </c>
      <c r="B37" s="45">
        <v>519</v>
      </c>
      <c r="C37" s="5">
        <v>6367112.33</v>
      </c>
      <c r="D37" s="5"/>
      <c r="E37" s="5">
        <v>6367112.33</v>
      </c>
      <c r="F37" s="5"/>
      <c r="G37" s="5">
        <f t="shared" si="3"/>
        <v>6367112.33</v>
      </c>
      <c r="H37" s="5"/>
      <c r="I37" s="5">
        <f t="shared" si="4"/>
        <v>6367112.33</v>
      </c>
    </row>
    <row r="38" spans="1:9" ht="9.75">
      <c r="A38" s="1" t="s">
        <v>38</v>
      </c>
      <c r="B38" s="45">
        <v>520</v>
      </c>
      <c r="C38" s="5">
        <v>11430105.3</v>
      </c>
      <c r="D38" s="5"/>
      <c r="E38" s="5">
        <v>11430105.3</v>
      </c>
      <c r="F38" s="5"/>
      <c r="G38" s="5">
        <f t="shared" si="3"/>
        <v>11430105.3</v>
      </c>
      <c r="H38" s="5"/>
      <c r="I38" s="5">
        <f t="shared" si="4"/>
        <v>11430105.3</v>
      </c>
    </row>
    <row r="39" spans="1:9" ht="9.75">
      <c r="A39" s="1" t="s">
        <v>39</v>
      </c>
      <c r="B39" s="45">
        <v>520</v>
      </c>
      <c r="C39" s="5">
        <v>0</v>
      </c>
      <c r="D39" s="5">
        <v>0</v>
      </c>
      <c r="E39" s="5">
        <v>0</v>
      </c>
      <c r="F39" s="5"/>
      <c r="G39" s="5">
        <f t="shared" si="3"/>
        <v>0</v>
      </c>
      <c r="H39" s="5"/>
      <c r="I39" s="5">
        <f t="shared" si="4"/>
        <v>0</v>
      </c>
    </row>
    <row r="40" spans="1:9" ht="9.75">
      <c r="A40" s="1" t="s">
        <v>40</v>
      </c>
      <c r="B40" s="45">
        <v>523</v>
      </c>
      <c r="C40" s="5">
        <v>186134.87</v>
      </c>
      <c r="D40" s="5"/>
      <c r="E40" s="5">
        <v>186134.87</v>
      </c>
      <c r="F40" s="5"/>
      <c r="G40" s="5">
        <f t="shared" si="3"/>
        <v>186134.87</v>
      </c>
      <c r="H40" s="5"/>
      <c r="I40" s="5">
        <f t="shared" si="4"/>
        <v>186134.87</v>
      </c>
    </row>
    <row r="41" spans="1:9" ht="9.75">
      <c r="A41" s="1" t="s">
        <v>41</v>
      </c>
      <c r="B41" s="45">
        <v>524</v>
      </c>
      <c r="C41" s="5">
        <v>64905419.66</v>
      </c>
      <c r="D41" s="5"/>
      <c r="E41" s="5">
        <v>64905419.66</v>
      </c>
      <c r="F41" s="5">
        <v>-2059376</v>
      </c>
      <c r="G41" s="5">
        <f t="shared" si="3"/>
        <v>62846043.66</v>
      </c>
      <c r="H41" s="5"/>
      <c r="I41" s="5">
        <f t="shared" si="4"/>
        <v>62846043.66</v>
      </c>
    </row>
    <row r="42" spans="1:9" ht="9.75">
      <c r="A42" s="1" t="s">
        <v>42</v>
      </c>
      <c r="B42" s="45">
        <v>524</v>
      </c>
      <c r="C42" s="5">
        <v>12000</v>
      </c>
      <c r="D42" s="5">
        <v>-12000</v>
      </c>
      <c r="E42" s="5">
        <v>0</v>
      </c>
      <c r="F42" s="5"/>
      <c r="G42" s="5">
        <f t="shared" si="3"/>
        <v>0</v>
      </c>
      <c r="H42" s="5"/>
      <c r="I42" s="5">
        <f t="shared" si="4"/>
        <v>0</v>
      </c>
    </row>
    <row r="43" spans="1:9" ht="9.75">
      <c r="A43" s="1" t="s">
        <v>43</v>
      </c>
      <c r="B43" s="45">
        <v>525</v>
      </c>
      <c r="C43" s="5">
        <v>0</v>
      </c>
      <c r="D43" s="5"/>
      <c r="E43" s="5">
        <v>0</v>
      </c>
      <c r="F43" s="5"/>
      <c r="G43" s="5">
        <f t="shared" si="3"/>
        <v>0</v>
      </c>
      <c r="H43" s="5"/>
      <c r="I43" s="5">
        <f t="shared" si="4"/>
        <v>0</v>
      </c>
    </row>
    <row r="44" spans="1:9" ht="9.75">
      <c r="A44" s="1" t="s">
        <v>44</v>
      </c>
      <c r="B44" s="45">
        <v>528</v>
      </c>
      <c r="C44" s="5">
        <v>80849982.3</v>
      </c>
      <c r="D44" s="5"/>
      <c r="E44" s="5">
        <v>80849982.3</v>
      </c>
      <c r="F44" s="5"/>
      <c r="G44" s="5">
        <f t="shared" si="3"/>
        <v>80849982.3</v>
      </c>
      <c r="H44" s="5"/>
      <c r="I44" s="5">
        <f t="shared" si="4"/>
        <v>80849982.3</v>
      </c>
    </row>
    <row r="45" spans="1:9" ht="9.75">
      <c r="A45" s="1" t="s">
        <v>45</v>
      </c>
      <c r="B45" s="45">
        <v>529</v>
      </c>
      <c r="C45" s="5">
        <v>5562264.68</v>
      </c>
      <c r="D45" s="5"/>
      <c r="E45" s="5">
        <v>5562264.68</v>
      </c>
      <c r="F45" s="5"/>
      <c r="G45" s="5">
        <f t="shared" si="3"/>
        <v>5562264.68</v>
      </c>
      <c r="H45" s="5"/>
      <c r="I45" s="5">
        <f t="shared" si="4"/>
        <v>5562264.68</v>
      </c>
    </row>
    <row r="46" spans="1:9" ht="9.75">
      <c r="A46" s="1" t="s">
        <v>46</v>
      </c>
      <c r="B46" s="45">
        <v>529</v>
      </c>
      <c r="C46" s="5">
        <v>0</v>
      </c>
      <c r="D46" s="5">
        <v>0</v>
      </c>
      <c r="E46" s="5">
        <v>0</v>
      </c>
      <c r="F46" s="5"/>
      <c r="G46" s="5">
        <f t="shared" si="3"/>
        <v>0</v>
      </c>
      <c r="H46" s="5"/>
      <c r="I46" s="5">
        <f t="shared" si="4"/>
        <v>0</v>
      </c>
    </row>
    <row r="47" spans="1:9" ht="9.75">
      <c r="A47" s="1" t="s">
        <v>47</v>
      </c>
      <c r="B47" s="45">
        <v>530</v>
      </c>
      <c r="C47" s="5">
        <v>33446537.73</v>
      </c>
      <c r="D47" s="5"/>
      <c r="E47" s="5">
        <v>33446537.73</v>
      </c>
      <c r="F47" s="5"/>
      <c r="G47" s="5">
        <f t="shared" si="3"/>
        <v>33446537.73</v>
      </c>
      <c r="H47" s="5"/>
      <c r="I47" s="5">
        <f t="shared" si="4"/>
        <v>33446537.73</v>
      </c>
    </row>
    <row r="48" spans="1:9" ht="9.75">
      <c r="A48" s="1" t="s">
        <v>48</v>
      </c>
      <c r="B48" s="45">
        <v>531</v>
      </c>
      <c r="C48" s="5">
        <v>13342446.02</v>
      </c>
      <c r="D48" s="5"/>
      <c r="E48" s="5">
        <v>13342446.02</v>
      </c>
      <c r="F48" s="5"/>
      <c r="G48" s="5">
        <f t="shared" si="3"/>
        <v>13342446.02</v>
      </c>
      <c r="H48" s="5"/>
      <c r="I48" s="5">
        <f t="shared" si="4"/>
        <v>13342446.02</v>
      </c>
    </row>
    <row r="49" spans="1:9" ht="9.75">
      <c r="A49" s="1" t="s">
        <v>49</v>
      </c>
      <c r="B49" s="45">
        <v>532</v>
      </c>
      <c r="C49" s="5">
        <v>64036187.84</v>
      </c>
      <c r="D49" s="5"/>
      <c r="E49" s="5">
        <v>64036187.84</v>
      </c>
      <c r="F49" s="5"/>
      <c r="G49" s="5">
        <f t="shared" si="3"/>
        <v>64036187.84</v>
      </c>
      <c r="H49" s="5"/>
      <c r="I49" s="5">
        <f t="shared" si="4"/>
        <v>64036187.84</v>
      </c>
    </row>
    <row r="50" spans="1:9" ht="9.75">
      <c r="A50" s="1" t="s">
        <v>50</v>
      </c>
      <c r="B50" s="45">
        <v>532</v>
      </c>
      <c r="C50" s="5">
        <v>0</v>
      </c>
      <c r="D50" s="5">
        <v>0</v>
      </c>
      <c r="E50" s="5">
        <v>0</v>
      </c>
      <c r="F50" s="5"/>
      <c r="G50" s="5">
        <f t="shared" si="3"/>
        <v>0</v>
      </c>
      <c r="H50" s="5"/>
      <c r="I50" s="5">
        <f t="shared" si="4"/>
        <v>0</v>
      </c>
    </row>
    <row r="51" spans="1:9" ht="10.5" thickBot="1">
      <c r="A51" s="1" t="s">
        <v>197</v>
      </c>
      <c r="B51" s="45"/>
      <c r="C51" s="5"/>
      <c r="D51" s="5"/>
      <c r="E51" s="5"/>
      <c r="F51" s="5"/>
      <c r="G51" s="5"/>
      <c r="H51" s="5">
        <v>-6156394</v>
      </c>
      <c r="I51" s="5">
        <f t="shared" si="4"/>
        <v>-6156394</v>
      </c>
    </row>
    <row r="52" spans="1:9" ht="9.75">
      <c r="A52" s="1" t="s">
        <v>51</v>
      </c>
      <c r="B52" s="45"/>
      <c r="C52" s="6">
        <f>SUM(C27:C50)</f>
        <v>647103923.2400001</v>
      </c>
      <c r="D52" s="6">
        <f>SUM(D27:D50)</f>
        <v>-215934954.93</v>
      </c>
      <c r="E52" s="6">
        <f>SUM(E27:E50)</f>
        <v>431168968.31000006</v>
      </c>
      <c r="F52" s="6">
        <f>SUM(F27:F50)</f>
        <v>-6835292</v>
      </c>
      <c r="G52" s="19">
        <f>SUM(G27:G51)</f>
        <v>424333676.31000006</v>
      </c>
      <c r="H52" s="6">
        <f>SUM(H27:H51)</f>
        <v>-10990281.44405</v>
      </c>
      <c r="I52" s="19">
        <f>SUM(I27:I51)</f>
        <v>413343394.86595</v>
      </c>
    </row>
    <row r="53" spans="1:9" ht="9.75">
      <c r="A53" s="1"/>
      <c r="B53" s="45"/>
      <c r="C53" s="5"/>
      <c r="D53" s="5"/>
      <c r="E53" s="5"/>
      <c r="F53" s="5"/>
      <c r="G53" s="5"/>
      <c r="H53" s="5"/>
      <c r="I53" s="5"/>
    </row>
    <row r="54" spans="1:9" ht="10.5" thickBot="1">
      <c r="A54" s="15" t="s">
        <v>52</v>
      </c>
      <c r="B54" s="44"/>
      <c r="C54" s="5"/>
      <c r="D54" s="5"/>
      <c r="E54" s="5"/>
      <c r="F54" s="5"/>
      <c r="G54" s="5"/>
      <c r="H54" s="5"/>
      <c r="I54" s="5"/>
    </row>
    <row r="55" spans="1:9" ht="9.75">
      <c r="A55" s="1" t="s">
        <v>53</v>
      </c>
      <c r="B55" s="45">
        <v>546</v>
      </c>
      <c r="C55" s="5">
        <v>9929403.61</v>
      </c>
      <c r="D55" s="5"/>
      <c r="E55" s="5">
        <v>9929403.61</v>
      </c>
      <c r="F55" s="5"/>
      <c r="G55" s="5">
        <f>E55+F55</f>
        <v>9929403.61</v>
      </c>
      <c r="H55" s="5">
        <f>-15520589*0.05772</f>
        <v>-895848.39708</v>
      </c>
      <c r="I55" s="5">
        <f>G55+H55</f>
        <v>9033555.212919999</v>
      </c>
    </row>
    <row r="56" spans="1:9" ht="9.75">
      <c r="A56" s="1" t="s">
        <v>54</v>
      </c>
      <c r="B56" s="45">
        <v>547</v>
      </c>
      <c r="C56" s="5">
        <v>3275469584.41</v>
      </c>
      <c r="D56" s="5">
        <v>-3275469584.41</v>
      </c>
      <c r="E56" s="5">
        <v>0</v>
      </c>
      <c r="F56" s="5"/>
      <c r="G56" s="5">
        <f>E56+F56</f>
        <v>0</v>
      </c>
      <c r="H56" s="5"/>
      <c r="I56" s="5">
        <f>G56+H56</f>
        <v>0</v>
      </c>
    </row>
    <row r="57" spans="1:9" ht="9.75">
      <c r="A57" s="1" t="s">
        <v>55</v>
      </c>
      <c r="B57" s="45">
        <v>547</v>
      </c>
      <c r="C57" s="5">
        <v>2532249.4</v>
      </c>
      <c r="D57" s="5"/>
      <c r="E57" s="5">
        <v>2532249.4</v>
      </c>
      <c r="F57" s="5">
        <f>-E57</f>
        <v>-2532249.4</v>
      </c>
      <c r="G57" s="5">
        <f aca="true" t="shared" si="5" ref="G57:G84">E57+F57</f>
        <v>0</v>
      </c>
      <c r="H57" s="5"/>
      <c r="I57" s="5">
        <f aca="true" t="shared" si="6" ref="I57:I62">G57+H57</f>
        <v>0</v>
      </c>
    </row>
    <row r="58" spans="1:9" ht="9.75">
      <c r="A58" s="1" t="s">
        <v>56</v>
      </c>
      <c r="B58" s="45">
        <v>548</v>
      </c>
      <c r="C58" s="5">
        <v>20691717.79</v>
      </c>
      <c r="D58" s="5"/>
      <c r="E58" s="5">
        <v>20691717.79</v>
      </c>
      <c r="F58" s="5"/>
      <c r="G58" s="5">
        <f t="shared" si="5"/>
        <v>20691717.79</v>
      </c>
      <c r="H58" s="5"/>
      <c r="I58" s="5">
        <f t="shared" si="6"/>
        <v>20691717.79</v>
      </c>
    </row>
    <row r="59" spans="1:9" ht="9.75">
      <c r="A59" s="1" t="s">
        <v>57</v>
      </c>
      <c r="B59" s="45">
        <v>549</v>
      </c>
      <c r="C59" s="5">
        <v>14919797.93</v>
      </c>
      <c r="D59" s="5"/>
      <c r="E59" s="5">
        <v>14919797.93</v>
      </c>
      <c r="F59" s="5"/>
      <c r="G59" s="5">
        <f t="shared" si="5"/>
        <v>14919797.93</v>
      </c>
      <c r="H59" s="5"/>
      <c r="I59" s="5">
        <f t="shared" si="6"/>
        <v>14919797.93</v>
      </c>
    </row>
    <row r="60" spans="1:9" ht="9.75">
      <c r="A60" s="1" t="s">
        <v>58</v>
      </c>
      <c r="B60" s="45">
        <v>549</v>
      </c>
      <c r="C60" s="5">
        <v>2324231.97</v>
      </c>
      <c r="D60" s="5">
        <v>-2324231.97</v>
      </c>
      <c r="E60" s="5">
        <v>0</v>
      </c>
      <c r="F60" s="5"/>
      <c r="G60" s="5">
        <f t="shared" si="5"/>
        <v>0</v>
      </c>
      <c r="H60" s="5"/>
      <c r="I60" s="5">
        <f t="shared" si="6"/>
        <v>0</v>
      </c>
    </row>
    <row r="61" spans="1:9" ht="9.75">
      <c r="A61" s="1" t="s">
        <v>59</v>
      </c>
      <c r="B61" s="45">
        <v>549</v>
      </c>
      <c r="C61" s="5">
        <v>33849.1</v>
      </c>
      <c r="D61" s="5">
        <v>-33849.1</v>
      </c>
      <c r="E61" s="5">
        <v>0</v>
      </c>
      <c r="F61" s="5"/>
      <c r="G61" s="5">
        <f t="shared" si="5"/>
        <v>0</v>
      </c>
      <c r="H61" s="5"/>
      <c r="I61" s="5">
        <f t="shared" si="6"/>
        <v>0</v>
      </c>
    </row>
    <row r="62" spans="1:9" ht="9.75">
      <c r="A62" s="1" t="s">
        <v>60</v>
      </c>
      <c r="B62" s="45">
        <v>550</v>
      </c>
      <c r="C62" s="5">
        <v>5541.69</v>
      </c>
      <c r="D62" s="5"/>
      <c r="E62" s="5">
        <v>5541.69</v>
      </c>
      <c r="F62" s="5"/>
      <c r="G62" s="5">
        <f t="shared" si="5"/>
        <v>5541.69</v>
      </c>
      <c r="H62" s="5"/>
      <c r="I62" s="5">
        <f t="shared" si="6"/>
        <v>5541.69</v>
      </c>
    </row>
    <row r="63" spans="1:9" ht="9.75">
      <c r="A63" s="1" t="s">
        <v>61</v>
      </c>
      <c r="B63" s="45">
        <v>551</v>
      </c>
      <c r="C63" s="5">
        <v>5921195.72</v>
      </c>
      <c r="D63" s="5"/>
      <c r="E63" s="5">
        <v>5921195.72</v>
      </c>
      <c r="F63" s="5"/>
      <c r="G63" s="5">
        <f t="shared" si="5"/>
        <v>5921195.72</v>
      </c>
      <c r="H63" s="5"/>
      <c r="I63" s="5">
        <f>G63+H63</f>
        <v>5921195.72</v>
      </c>
    </row>
    <row r="64" spans="1:9" ht="9.75">
      <c r="A64" s="1" t="s">
        <v>62</v>
      </c>
      <c r="B64" s="45">
        <v>552</v>
      </c>
      <c r="C64" s="5">
        <v>4373297.22</v>
      </c>
      <c r="D64" s="5"/>
      <c r="E64" s="5">
        <v>4373297.22</v>
      </c>
      <c r="F64" s="5"/>
      <c r="G64" s="5">
        <f t="shared" si="5"/>
        <v>4373297.22</v>
      </c>
      <c r="H64" s="5"/>
      <c r="I64" s="5">
        <f>G64+H64</f>
        <v>4373297.22</v>
      </c>
    </row>
    <row r="65" spans="1:9" ht="9.75">
      <c r="A65" s="1" t="s">
        <v>63</v>
      </c>
      <c r="B65" s="45">
        <v>552</v>
      </c>
      <c r="C65" s="5">
        <v>27472.1</v>
      </c>
      <c r="D65" s="5">
        <v>-27472.1</v>
      </c>
      <c r="E65" s="5">
        <v>0</v>
      </c>
      <c r="F65" s="5"/>
      <c r="G65" s="5">
        <f t="shared" si="5"/>
        <v>0</v>
      </c>
      <c r="H65" s="5"/>
      <c r="I65" s="5">
        <f aca="true" t="shared" si="7" ref="I65:I70">G65+H65</f>
        <v>0</v>
      </c>
    </row>
    <row r="66" spans="1:9" ht="9.75">
      <c r="A66" s="1" t="s">
        <v>64</v>
      </c>
      <c r="B66" s="45">
        <v>553</v>
      </c>
      <c r="C66" s="5">
        <v>31669735.56</v>
      </c>
      <c r="D66" s="5"/>
      <c r="E66" s="5">
        <v>31669735.56</v>
      </c>
      <c r="F66" s="5"/>
      <c r="G66" s="5">
        <f t="shared" si="5"/>
        <v>31669735.56</v>
      </c>
      <c r="H66" s="5"/>
      <c r="I66" s="5">
        <f t="shared" si="7"/>
        <v>31669735.56</v>
      </c>
    </row>
    <row r="67" spans="1:9" ht="9.75">
      <c r="A67" s="1" t="s">
        <v>65</v>
      </c>
      <c r="B67" s="45">
        <v>553</v>
      </c>
      <c r="C67" s="5">
        <v>0</v>
      </c>
      <c r="D67" s="5">
        <v>0</v>
      </c>
      <c r="E67" s="5">
        <v>0</v>
      </c>
      <c r="F67" s="5"/>
      <c r="G67" s="5">
        <f t="shared" si="5"/>
        <v>0</v>
      </c>
      <c r="H67" s="5"/>
      <c r="I67" s="5">
        <f t="shared" si="7"/>
        <v>0</v>
      </c>
    </row>
    <row r="68" spans="1:9" ht="9.75">
      <c r="A68" s="1" t="s">
        <v>66</v>
      </c>
      <c r="B68" s="45">
        <v>553</v>
      </c>
      <c r="C68" s="5">
        <v>640818.78</v>
      </c>
      <c r="D68" s="5">
        <v>-640818.78</v>
      </c>
      <c r="E68" s="5">
        <v>0</v>
      </c>
      <c r="F68" s="5"/>
      <c r="G68" s="5">
        <f t="shared" si="5"/>
        <v>0</v>
      </c>
      <c r="H68" s="5"/>
      <c r="I68" s="5">
        <f t="shared" si="7"/>
        <v>0</v>
      </c>
    </row>
    <row r="69" spans="1:9" ht="9.75">
      <c r="A69" s="1" t="s">
        <v>67</v>
      </c>
      <c r="B69" s="45">
        <v>554</v>
      </c>
      <c r="C69" s="5">
        <v>5353925.06</v>
      </c>
      <c r="D69" s="5"/>
      <c r="E69" s="5">
        <v>5353925.06</v>
      </c>
      <c r="F69" s="5"/>
      <c r="G69" s="5">
        <f t="shared" si="5"/>
        <v>5353925.06</v>
      </c>
      <c r="H69" s="5"/>
      <c r="I69" s="5">
        <f t="shared" si="7"/>
        <v>5353925.06</v>
      </c>
    </row>
    <row r="70" spans="1:9" ht="10.5" thickBot="1">
      <c r="A70" s="1" t="s">
        <v>68</v>
      </c>
      <c r="B70" s="45">
        <v>554</v>
      </c>
      <c r="C70" s="5">
        <v>1501000</v>
      </c>
      <c r="D70" s="5">
        <v>-1501000</v>
      </c>
      <c r="E70" s="5">
        <v>0</v>
      </c>
      <c r="F70" s="5"/>
      <c r="G70" s="5">
        <f t="shared" si="5"/>
        <v>0</v>
      </c>
      <c r="H70" s="5"/>
      <c r="I70" s="5">
        <f t="shared" si="7"/>
        <v>0</v>
      </c>
    </row>
    <row r="71" spans="1:9" ht="9.75">
      <c r="A71" s="1" t="s">
        <v>69</v>
      </c>
      <c r="B71" s="45"/>
      <c r="C71" s="6">
        <f aca="true" t="shared" si="8" ref="C71:I71">SUM(C55:C70)</f>
        <v>3375393820.339999</v>
      </c>
      <c r="D71" s="6">
        <f t="shared" si="8"/>
        <v>-3279996956.3599997</v>
      </c>
      <c r="E71" s="6">
        <f t="shared" si="8"/>
        <v>95396863.97999999</v>
      </c>
      <c r="F71" s="6">
        <f t="shared" si="8"/>
        <v>-2532249.4</v>
      </c>
      <c r="G71" s="19">
        <f t="shared" si="8"/>
        <v>92864614.58</v>
      </c>
      <c r="H71" s="6">
        <f t="shared" si="8"/>
        <v>-895848.39708</v>
      </c>
      <c r="I71" s="19">
        <f t="shared" si="8"/>
        <v>91968766.18292</v>
      </c>
    </row>
    <row r="72" spans="1:9" ht="9.75">
      <c r="A72" s="1"/>
      <c r="B72" s="45"/>
      <c r="C72" s="5"/>
      <c r="D72" s="5"/>
      <c r="E72" s="5"/>
      <c r="F72" s="5"/>
      <c r="G72" s="5"/>
      <c r="H72" s="5"/>
      <c r="I72" s="5"/>
    </row>
    <row r="73" spans="1:9" ht="10.5" thickBot="1">
      <c r="A73" s="15" t="s">
        <v>70</v>
      </c>
      <c r="B73" s="44"/>
      <c r="C73" s="5"/>
      <c r="D73" s="5"/>
      <c r="E73" s="5"/>
      <c r="F73" s="5"/>
      <c r="G73" s="5"/>
      <c r="H73" s="5"/>
      <c r="I73" s="5"/>
    </row>
    <row r="74" spans="1:9" ht="9.75">
      <c r="A74" s="1" t="s">
        <v>71</v>
      </c>
      <c r="B74" s="45">
        <v>555</v>
      </c>
      <c r="C74" s="5">
        <v>416804822.99</v>
      </c>
      <c r="D74" s="5">
        <v>-416804822.99</v>
      </c>
      <c r="E74" s="5">
        <v>0</v>
      </c>
      <c r="F74" s="5"/>
      <c r="G74" s="5">
        <f t="shared" si="5"/>
        <v>0</v>
      </c>
      <c r="H74" s="5"/>
      <c r="I74" s="5">
        <f>G74+H74</f>
        <v>0</v>
      </c>
    </row>
    <row r="75" spans="1:9" ht="9.75">
      <c r="A75" s="1" t="s">
        <v>72</v>
      </c>
      <c r="B75" s="45">
        <v>555</v>
      </c>
      <c r="C75" s="5">
        <v>0</v>
      </c>
      <c r="D75" s="5"/>
      <c r="E75" s="5">
        <v>0</v>
      </c>
      <c r="F75" s="5">
        <f>-E75</f>
        <v>0</v>
      </c>
      <c r="G75" s="5">
        <f t="shared" si="5"/>
        <v>0</v>
      </c>
      <c r="H75" s="5"/>
      <c r="I75" s="5">
        <f>G75+H75</f>
        <v>0</v>
      </c>
    </row>
    <row r="76" spans="1:9" ht="9.75">
      <c r="A76" s="1" t="s">
        <v>73</v>
      </c>
      <c r="B76" s="45">
        <v>555</v>
      </c>
      <c r="C76" s="5">
        <v>62887812</v>
      </c>
      <c r="D76" s="5"/>
      <c r="E76" s="5">
        <v>62887812</v>
      </c>
      <c r="F76" s="5">
        <f>-E76</f>
        <v>-62887812</v>
      </c>
      <c r="G76" s="5">
        <f t="shared" si="5"/>
        <v>0</v>
      </c>
      <c r="H76" s="5"/>
      <c r="I76" s="5">
        <f aca="true" t="shared" si="9" ref="I76:I84">G76+H76</f>
        <v>0</v>
      </c>
    </row>
    <row r="77" spans="1:9" ht="9.75">
      <c r="A77" s="1" t="s">
        <v>74</v>
      </c>
      <c r="B77" s="45">
        <v>555</v>
      </c>
      <c r="C77" s="5">
        <v>524977610</v>
      </c>
      <c r="D77" s="5">
        <v>-524977610</v>
      </c>
      <c r="E77" s="5">
        <v>0</v>
      </c>
      <c r="F77" s="5"/>
      <c r="G77" s="5">
        <f t="shared" si="5"/>
        <v>0</v>
      </c>
      <c r="H77" s="5"/>
      <c r="I77" s="5">
        <f t="shared" si="9"/>
        <v>0</v>
      </c>
    </row>
    <row r="78" spans="1:9" ht="9.75">
      <c r="A78" s="1" t="s">
        <v>75</v>
      </c>
      <c r="B78" s="45">
        <v>555</v>
      </c>
      <c r="C78" s="5">
        <v>-62887812</v>
      </c>
      <c r="D78" s="5">
        <v>62887812</v>
      </c>
      <c r="E78" s="5">
        <v>0</v>
      </c>
      <c r="F78" s="5"/>
      <c r="G78" s="5">
        <f t="shared" si="5"/>
        <v>0</v>
      </c>
      <c r="H78" s="5"/>
      <c r="I78" s="5">
        <f t="shared" si="9"/>
        <v>0</v>
      </c>
    </row>
    <row r="79" spans="1:9" ht="9.75">
      <c r="A79" s="1" t="s">
        <v>76</v>
      </c>
      <c r="B79" s="45">
        <v>556</v>
      </c>
      <c r="C79" s="5">
        <v>2911077.47</v>
      </c>
      <c r="D79" s="5"/>
      <c r="E79" s="5">
        <v>2911077.47</v>
      </c>
      <c r="F79" s="5"/>
      <c r="G79" s="5">
        <f t="shared" si="5"/>
        <v>2911077.47</v>
      </c>
      <c r="H79" s="5"/>
      <c r="I79" s="5">
        <f t="shared" si="9"/>
        <v>2911077.47</v>
      </c>
    </row>
    <row r="80" spans="1:9" ht="9.75">
      <c r="A80" s="1" t="s">
        <v>77</v>
      </c>
      <c r="B80" s="45">
        <v>557</v>
      </c>
      <c r="C80" s="5">
        <v>3881778.03</v>
      </c>
      <c r="D80" s="5"/>
      <c r="E80" s="5">
        <v>3881778.03</v>
      </c>
      <c r="F80" s="5"/>
      <c r="G80" s="5">
        <f t="shared" si="5"/>
        <v>3881778.03</v>
      </c>
      <c r="H80" s="5">
        <f>-15520589*0.00675</f>
        <v>-104763.97575</v>
      </c>
      <c r="I80" s="5">
        <f t="shared" si="9"/>
        <v>3777014.0542499996</v>
      </c>
    </row>
    <row r="81" spans="1:9" ht="9.75">
      <c r="A81" s="1" t="s">
        <v>78</v>
      </c>
      <c r="B81" s="45">
        <v>557</v>
      </c>
      <c r="C81" s="5">
        <v>0</v>
      </c>
      <c r="D81" s="5">
        <v>0</v>
      </c>
      <c r="E81" s="5">
        <v>0</v>
      </c>
      <c r="F81" s="5"/>
      <c r="G81" s="5">
        <f t="shared" si="5"/>
        <v>0</v>
      </c>
      <c r="H81" s="5"/>
      <c r="I81" s="5">
        <f t="shared" si="9"/>
        <v>0</v>
      </c>
    </row>
    <row r="82" spans="1:9" ht="9.75">
      <c r="A82" s="1" t="s">
        <v>79</v>
      </c>
      <c r="B82" s="45">
        <v>557</v>
      </c>
      <c r="C82" s="5">
        <v>50698993.64</v>
      </c>
      <c r="D82" s="5">
        <v>-50698993.64</v>
      </c>
      <c r="E82" s="5">
        <v>0</v>
      </c>
      <c r="F82" s="5"/>
      <c r="G82" s="5">
        <f t="shared" si="5"/>
        <v>0</v>
      </c>
      <c r="H82" s="5"/>
      <c r="I82" s="5">
        <f t="shared" si="9"/>
        <v>0</v>
      </c>
    </row>
    <row r="83" spans="1:9" ht="9.75">
      <c r="A83" s="1" t="s">
        <v>80</v>
      </c>
      <c r="B83" s="45">
        <v>557</v>
      </c>
      <c r="C83" s="5">
        <v>8549784.53</v>
      </c>
      <c r="D83" s="5">
        <v>-8549784.53</v>
      </c>
      <c r="E83" s="5">
        <v>0</v>
      </c>
      <c r="F83" s="5"/>
      <c r="G83" s="5">
        <f t="shared" si="5"/>
        <v>0</v>
      </c>
      <c r="H83" s="5"/>
      <c r="I83" s="5">
        <f t="shared" si="9"/>
        <v>0</v>
      </c>
    </row>
    <row r="84" spans="1:9" ht="10.5" thickBot="1">
      <c r="A84" s="1" t="s">
        <v>81</v>
      </c>
      <c r="B84" s="45">
        <v>557</v>
      </c>
      <c r="C84" s="5">
        <v>-0.01</v>
      </c>
      <c r="D84" s="5">
        <v>0.01</v>
      </c>
      <c r="E84" s="5">
        <v>0</v>
      </c>
      <c r="F84" s="5"/>
      <c r="G84" s="5">
        <f t="shared" si="5"/>
        <v>0</v>
      </c>
      <c r="H84" s="5"/>
      <c r="I84" s="5">
        <f t="shared" si="9"/>
        <v>0</v>
      </c>
    </row>
    <row r="85" spans="1:9" ht="9.75">
      <c r="A85" s="1" t="s">
        <v>82</v>
      </c>
      <c r="B85" s="45"/>
      <c r="C85" s="6">
        <f aca="true" t="shared" si="10" ref="C85:I85">SUM(C74:C84)</f>
        <v>1007824066.65</v>
      </c>
      <c r="D85" s="6">
        <f t="shared" si="10"/>
        <v>-938143399.15</v>
      </c>
      <c r="E85" s="6">
        <f t="shared" si="10"/>
        <v>69680667.5</v>
      </c>
      <c r="F85" s="6">
        <f t="shared" si="10"/>
        <v>-62887812</v>
      </c>
      <c r="G85" s="19">
        <f t="shared" si="10"/>
        <v>6792855.5</v>
      </c>
      <c r="H85" s="6">
        <f t="shared" si="10"/>
        <v>-104763.97575</v>
      </c>
      <c r="I85" s="19">
        <f t="shared" si="10"/>
        <v>6688091.52425</v>
      </c>
    </row>
    <row r="86" spans="1:9" ht="9.75">
      <c r="A86" s="1"/>
      <c r="B86" s="45"/>
      <c r="C86" s="5">
        <f>C71+C85</f>
        <v>4383217886.989999</v>
      </c>
      <c r="D86" s="5">
        <f>D71+D85</f>
        <v>-4218140355.5099998</v>
      </c>
      <c r="E86" s="5"/>
      <c r="F86" s="5"/>
      <c r="G86" s="5"/>
      <c r="H86" s="5"/>
      <c r="I86" s="5"/>
    </row>
    <row r="87" spans="1:9" ht="10.5" thickBot="1">
      <c r="A87" s="15" t="s">
        <v>83</v>
      </c>
      <c r="B87" s="44"/>
      <c r="C87" s="5"/>
      <c r="D87" s="5"/>
      <c r="E87" s="5"/>
      <c r="F87" s="5"/>
      <c r="G87" s="5"/>
      <c r="H87" s="5"/>
      <c r="I87" s="5"/>
    </row>
    <row r="88" spans="1:9" ht="9.75">
      <c r="A88" s="1" t="s">
        <v>84</v>
      </c>
      <c r="B88" s="45">
        <v>560</v>
      </c>
      <c r="C88" s="5">
        <v>14907693.15</v>
      </c>
      <c r="D88" s="5"/>
      <c r="E88" s="5">
        <v>14907693.15</v>
      </c>
      <c r="F88" s="5"/>
      <c r="G88" s="5">
        <f>E88+F88</f>
        <v>14907693.15</v>
      </c>
      <c r="H88" s="5">
        <f>-15520589*0.02191</f>
        <v>-340056.10498999996</v>
      </c>
      <c r="I88" s="5">
        <f>G88+H88</f>
        <v>14567637.04501</v>
      </c>
    </row>
    <row r="89" spans="1:9" ht="9.75">
      <c r="A89" s="1" t="s">
        <v>85</v>
      </c>
      <c r="B89" s="45">
        <v>561</v>
      </c>
      <c r="C89" s="5">
        <v>5107141.68</v>
      </c>
      <c r="D89" s="5"/>
      <c r="E89" s="5">
        <v>5107141.68</v>
      </c>
      <c r="F89" s="5"/>
      <c r="G89" s="5">
        <f>E89+F89</f>
        <v>5107141.68</v>
      </c>
      <c r="H89" s="5"/>
      <c r="I89" s="5">
        <f>G89+H89</f>
        <v>5107141.68</v>
      </c>
    </row>
    <row r="90" spans="1:9" ht="9.75">
      <c r="A90" s="1" t="s">
        <v>86</v>
      </c>
      <c r="B90" s="45">
        <v>562</v>
      </c>
      <c r="C90" s="5">
        <v>1639713.14</v>
      </c>
      <c r="D90" s="5"/>
      <c r="E90" s="5">
        <v>1639713.14</v>
      </c>
      <c r="F90" s="5"/>
      <c r="G90" s="5">
        <f aca="true" t="shared" si="11" ref="G90:G107">E90+F90</f>
        <v>1639713.14</v>
      </c>
      <c r="H90" s="5"/>
      <c r="I90" s="5">
        <f aca="true" t="shared" si="12" ref="I90:I107">G90+H90</f>
        <v>1639713.14</v>
      </c>
    </row>
    <row r="91" spans="1:9" ht="9.75">
      <c r="A91" s="1" t="s">
        <v>87</v>
      </c>
      <c r="B91" s="45">
        <v>562</v>
      </c>
      <c r="C91" s="5">
        <v>1063824</v>
      </c>
      <c r="D91" s="5"/>
      <c r="E91" s="5">
        <v>1063824</v>
      </c>
      <c r="F91" s="5">
        <f>-E91</f>
        <v>-1063824</v>
      </c>
      <c r="G91" s="5">
        <f t="shared" si="11"/>
        <v>0</v>
      </c>
      <c r="H91" s="5"/>
      <c r="I91" s="5">
        <f t="shared" si="12"/>
        <v>0</v>
      </c>
    </row>
    <row r="92" spans="1:9" ht="9.75">
      <c r="A92" s="1" t="s">
        <v>88</v>
      </c>
      <c r="B92" s="45">
        <v>563</v>
      </c>
      <c r="C92" s="5">
        <v>2182288.05</v>
      </c>
      <c r="D92" s="5"/>
      <c r="E92" s="5">
        <v>2182288.05</v>
      </c>
      <c r="F92" s="5"/>
      <c r="G92" s="5">
        <f t="shared" si="11"/>
        <v>2182288.05</v>
      </c>
      <c r="H92" s="5"/>
      <c r="I92" s="5">
        <f t="shared" si="12"/>
        <v>2182288.05</v>
      </c>
    </row>
    <row r="93" spans="1:9" ht="9.75">
      <c r="A93" s="1" t="s">
        <v>89</v>
      </c>
      <c r="B93" s="45">
        <v>564</v>
      </c>
      <c r="C93" s="5">
        <v>0</v>
      </c>
      <c r="D93" s="5"/>
      <c r="E93" s="5">
        <v>0</v>
      </c>
      <c r="F93" s="5"/>
      <c r="G93" s="5">
        <f t="shared" si="11"/>
        <v>0</v>
      </c>
      <c r="H93" s="5"/>
      <c r="I93" s="5">
        <f t="shared" si="12"/>
        <v>0</v>
      </c>
    </row>
    <row r="94" spans="1:9" ht="9.75">
      <c r="A94" s="1" t="s">
        <v>90</v>
      </c>
      <c r="B94" s="45">
        <v>565</v>
      </c>
      <c r="C94" s="5">
        <v>12768000</v>
      </c>
      <c r="D94" s="5"/>
      <c r="E94" s="5">
        <v>12768000</v>
      </c>
      <c r="F94" s="5">
        <f>-E94</f>
        <v>-12768000</v>
      </c>
      <c r="G94" s="5">
        <f t="shared" si="11"/>
        <v>0</v>
      </c>
      <c r="H94" s="5"/>
      <c r="I94" s="5">
        <f t="shared" si="12"/>
        <v>0</v>
      </c>
    </row>
    <row r="95" spans="1:9" ht="9.75">
      <c r="A95" s="1" t="s">
        <v>91</v>
      </c>
      <c r="B95" s="45">
        <v>565</v>
      </c>
      <c r="C95" s="5">
        <v>4354656</v>
      </c>
      <c r="D95" s="5">
        <v>-4354656</v>
      </c>
      <c r="E95" s="5">
        <v>0</v>
      </c>
      <c r="F95" s="5"/>
      <c r="G95" s="5">
        <f t="shared" si="11"/>
        <v>0</v>
      </c>
      <c r="H95" s="5"/>
      <c r="I95" s="5">
        <f t="shared" si="12"/>
        <v>0</v>
      </c>
    </row>
    <row r="96" spans="1:9" ht="9.75">
      <c r="A96" s="1" t="s">
        <v>92</v>
      </c>
      <c r="B96" s="45">
        <v>565</v>
      </c>
      <c r="C96" s="5">
        <v>344184.01</v>
      </c>
      <c r="D96" s="5">
        <v>-344184.01</v>
      </c>
      <c r="E96" s="5">
        <v>0</v>
      </c>
      <c r="F96" s="5"/>
      <c r="G96" s="5">
        <f t="shared" si="11"/>
        <v>0</v>
      </c>
      <c r="H96" s="5"/>
      <c r="I96" s="5">
        <f t="shared" si="12"/>
        <v>0</v>
      </c>
    </row>
    <row r="97" spans="1:9" ht="9.75">
      <c r="A97" s="1" t="s">
        <v>93</v>
      </c>
      <c r="B97" s="45">
        <v>565</v>
      </c>
      <c r="C97" s="5">
        <v>0</v>
      </c>
      <c r="D97" s="5"/>
      <c r="E97" s="5">
        <v>0</v>
      </c>
      <c r="F97" s="5"/>
      <c r="G97" s="5">
        <f t="shared" si="11"/>
        <v>0</v>
      </c>
      <c r="H97" s="5"/>
      <c r="I97" s="5">
        <f t="shared" si="12"/>
        <v>0</v>
      </c>
    </row>
    <row r="98" spans="1:9" ht="9.75">
      <c r="A98" s="1" t="s">
        <v>94</v>
      </c>
      <c r="B98" s="45">
        <v>565</v>
      </c>
      <c r="C98" s="5">
        <v>2459666.34</v>
      </c>
      <c r="D98" s="5"/>
      <c r="E98" s="5">
        <v>2459666.34</v>
      </c>
      <c r="F98" s="5"/>
      <c r="G98" s="5">
        <f t="shared" si="11"/>
        <v>2459666.34</v>
      </c>
      <c r="H98" s="5"/>
      <c r="I98" s="5">
        <f t="shared" si="12"/>
        <v>2459666.34</v>
      </c>
    </row>
    <row r="99" spans="1:9" ht="9.75">
      <c r="A99" s="1" t="s">
        <v>95</v>
      </c>
      <c r="B99" s="45">
        <v>567</v>
      </c>
      <c r="C99" s="5">
        <v>0</v>
      </c>
      <c r="D99" s="5"/>
      <c r="E99" s="5">
        <v>0</v>
      </c>
      <c r="F99" s="5"/>
      <c r="G99" s="5">
        <f t="shared" si="11"/>
        <v>0</v>
      </c>
      <c r="H99" s="5"/>
      <c r="I99" s="5">
        <f t="shared" si="12"/>
        <v>0</v>
      </c>
    </row>
    <row r="100" spans="1:9" ht="9.75">
      <c r="A100" s="1" t="s">
        <v>96</v>
      </c>
      <c r="B100" s="45">
        <v>568</v>
      </c>
      <c r="C100" s="5">
        <v>806378.76</v>
      </c>
      <c r="D100" s="5"/>
      <c r="E100" s="5">
        <v>806378.76</v>
      </c>
      <c r="F100" s="5"/>
      <c r="G100" s="5">
        <f t="shared" si="11"/>
        <v>806378.76</v>
      </c>
      <c r="H100" s="5"/>
      <c r="I100" s="5">
        <f t="shared" si="12"/>
        <v>806378.76</v>
      </c>
    </row>
    <row r="101" spans="1:9" ht="9.75">
      <c r="A101" s="1" t="s">
        <v>97</v>
      </c>
      <c r="B101" s="45">
        <v>569</v>
      </c>
      <c r="C101" s="5">
        <v>3433899.05</v>
      </c>
      <c r="D101" s="5"/>
      <c r="E101" s="5">
        <v>3433899.05</v>
      </c>
      <c r="F101" s="5"/>
      <c r="G101" s="5">
        <f t="shared" si="11"/>
        <v>3433899.05</v>
      </c>
      <c r="H101" s="5"/>
      <c r="I101" s="5">
        <f t="shared" si="12"/>
        <v>3433899.05</v>
      </c>
    </row>
    <row r="102" spans="1:9" ht="9.75">
      <c r="A102" s="1" t="s">
        <v>98</v>
      </c>
      <c r="B102" s="45">
        <v>570</v>
      </c>
      <c r="C102" s="5">
        <v>6669712.31</v>
      </c>
      <c r="D102" s="5"/>
      <c r="E102" s="5">
        <v>6669712.31</v>
      </c>
      <c r="F102" s="5">
        <v>-190000</v>
      </c>
      <c r="G102" s="5">
        <f t="shared" si="11"/>
        <v>6479712.31</v>
      </c>
      <c r="H102" s="5"/>
      <c r="I102" s="5">
        <f t="shared" si="12"/>
        <v>6479712.31</v>
      </c>
    </row>
    <row r="103" spans="1:9" ht="9.75">
      <c r="A103" s="1" t="s">
        <v>99</v>
      </c>
      <c r="B103" s="45">
        <v>570</v>
      </c>
      <c r="C103" s="5">
        <v>1710260.04</v>
      </c>
      <c r="D103" s="5"/>
      <c r="E103" s="5">
        <v>1710260.04</v>
      </c>
      <c r="F103" s="5">
        <f>-E103</f>
        <v>-1710260.04</v>
      </c>
      <c r="G103" s="5">
        <f t="shared" si="11"/>
        <v>0</v>
      </c>
      <c r="H103" s="5"/>
      <c r="I103" s="5">
        <f t="shared" si="12"/>
        <v>0</v>
      </c>
    </row>
    <row r="104" spans="1:9" ht="9.75">
      <c r="A104" s="1" t="s">
        <v>100</v>
      </c>
      <c r="B104" s="45">
        <v>570</v>
      </c>
      <c r="C104" s="5">
        <v>446667.28</v>
      </c>
      <c r="D104" s="5">
        <v>-446667.28</v>
      </c>
      <c r="E104" s="5">
        <v>0</v>
      </c>
      <c r="F104" s="5"/>
      <c r="G104" s="5">
        <f t="shared" si="11"/>
        <v>0</v>
      </c>
      <c r="H104" s="5"/>
      <c r="I104" s="5">
        <f t="shared" si="12"/>
        <v>0</v>
      </c>
    </row>
    <row r="105" spans="1:9" ht="9.75">
      <c r="A105" s="1" t="s">
        <v>101</v>
      </c>
      <c r="B105" s="45">
        <v>571</v>
      </c>
      <c r="C105" s="5">
        <v>15929798.47</v>
      </c>
      <c r="D105" s="5"/>
      <c r="E105" s="5">
        <v>15929798.47</v>
      </c>
      <c r="F105" s="5"/>
      <c r="G105" s="5">
        <f t="shared" si="11"/>
        <v>15929798.47</v>
      </c>
      <c r="H105" s="5"/>
      <c r="I105" s="5">
        <f t="shared" si="12"/>
        <v>15929798.47</v>
      </c>
    </row>
    <row r="106" spans="1:9" ht="9.75">
      <c r="A106" s="1" t="s">
        <v>102</v>
      </c>
      <c r="B106" s="45">
        <v>572</v>
      </c>
      <c r="C106" s="5">
        <v>0</v>
      </c>
      <c r="D106" s="5"/>
      <c r="E106" s="5">
        <v>0</v>
      </c>
      <c r="F106" s="5"/>
      <c r="G106" s="5">
        <f t="shared" si="11"/>
        <v>0</v>
      </c>
      <c r="H106" s="5"/>
      <c r="I106" s="5">
        <f t="shared" si="12"/>
        <v>0</v>
      </c>
    </row>
    <row r="107" spans="1:9" ht="10.5" thickBot="1">
      <c r="A107" s="1" t="s">
        <v>103</v>
      </c>
      <c r="B107" s="45">
        <v>573</v>
      </c>
      <c r="C107" s="5">
        <v>591276</v>
      </c>
      <c r="D107" s="5"/>
      <c r="E107" s="5">
        <v>591276</v>
      </c>
      <c r="F107" s="5"/>
      <c r="G107" s="5">
        <f t="shared" si="11"/>
        <v>591276</v>
      </c>
      <c r="H107" s="5"/>
      <c r="I107" s="5">
        <f t="shared" si="12"/>
        <v>591276</v>
      </c>
    </row>
    <row r="108" spans="1:9" ht="9.75">
      <c r="A108" s="1" t="s">
        <v>104</v>
      </c>
      <c r="C108" s="6">
        <f aca="true" t="shared" si="13" ref="C108:I108">SUM(C88:C107)</f>
        <v>74415158.27999999</v>
      </c>
      <c r="D108" s="6">
        <f t="shared" si="13"/>
        <v>-5145507.29</v>
      </c>
      <c r="E108" s="6">
        <f t="shared" si="13"/>
        <v>69269650.99</v>
      </c>
      <c r="F108" s="6">
        <f t="shared" si="13"/>
        <v>-15732084.04</v>
      </c>
      <c r="G108" s="19">
        <f t="shared" si="13"/>
        <v>53537566.95</v>
      </c>
      <c r="H108" s="6">
        <f t="shared" si="13"/>
        <v>-340056.10498999996</v>
      </c>
      <c r="I108" s="19">
        <f t="shared" si="13"/>
        <v>53197510.845010005</v>
      </c>
    </row>
    <row r="109" spans="1:9" ht="9.75">
      <c r="A109" s="1"/>
      <c r="B109" s="45"/>
      <c r="C109" s="5"/>
      <c r="D109" s="5"/>
      <c r="E109" s="5"/>
      <c r="F109" s="5"/>
      <c r="G109" s="5"/>
      <c r="H109" s="5"/>
      <c r="I109" s="5"/>
    </row>
    <row r="110" spans="1:9" ht="10.5" thickBot="1">
      <c r="A110" s="15" t="s">
        <v>105</v>
      </c>
      <c r="B110" s="44"/>
      <c r="C110" s="5"/>
      <c r="D110" s="5"/>
      <c r="E110" s="5"/>
      <c r="F110" s="5"/>
      <c r="G110" s="5"/>
      <c r="H110" s="5"/>
      <c r="I110" s="5"/>
    </row>
    <row r="111" spans="1:9" ht="9.75">
      <c r="A111" s="1" t="s">
        <v>106</v>
      </c>
      <c r="B111" s="45">
        <v>580</v>
      </c>
      <c r="C111" s="5">
        <v>21745754.8</v>
      </c>
      <c r="D111" s="5"/>
      <c r="E111" s="5">
        <v>21745754.8</v>
      </c>
      <c r="F111" s="5"/>
      <c r="G111" s="5">
        <f>E111+F111</f>
        <v>21745754.8</v>
      </c>
      <c r="H111" s="5">
        <f>-15520589*0.16186</f>
        <v>-2512162.53554</v>
      </c>
      <c r="I111" s="5">
        <f>G111+H111</f>
        <v>19233592.26446</v>
      </c>
    </row>
    <row r="112" spans="1:9" ht="9.75">
      <c r="A112" s="1" t="s">
        <v>107</v>
      </c>
      <c r="B112" s="45">
        <v>581</v>
      </c>
      <c r="C112" s="5">
        <v>660040.78</v>
      </c>
      <c r="D112" s="5"/>
      <c r="E112" s="5">
        <v>660040.78</v>
      </c>
      <c r="F112" s="5"/>
      <c r="G112" s="5">
        <f>E112+F112</f>
        <v>660040.78</v>
      </c>
      <c r="H112" s="5"/>
      <c r="I112" s="5">
        <f>G112+H112</f>
        <v>660040.78</v>
      </c>
    </row>
    <row r="113" spans="1:9" ht="9.75">
      <c r="A113" s="1" t="s">
        <v>108</v>
      </c>
      <c r="B113" s="45">
        <v>582</v>
      </c>
      <c r="C113" s="5">
        <v>2997272.29</v>
      </c>
      <c r="D113" s="5"/>
      <c r="E113" s="5">
        <v>2997272.29</v>
      </c>
      <c r="F113" s="5"/>
      <c r="G113" s="5">
        <f aca="true" t="shared" si="14" ref="G113:G130">E113+F113</f>
        <v>2997272.29</v>
      </c>
      <c r="H113" s="5"/>
      <c r="I113" s="5">
        <f aca="true" t="shared" si="15" ref="I113:I121">G113+H113</f>
        <v>2997272.29</v>
      </c>
    </row>
    <row r="114" spans="1:9" ht="9.75">
      <c r="A114" s="1" t="s">
        <v>109</v>
      </c>
      <c r="B114" s="45">
        <v>583</v>
      </c>
      <c r="C114" s="5">
        <v>8578227.4</v>
      </c>
      <c r="D114" s="5"/>
      <c r="E114" s="5">
        <v>8578227.4</v>
      </c>
      <c r="F114" s="5"/>
      <c r="G114" s="5">
        <f t="shared" si="14"/>
        <v>8578227.4</v>
      </c>
      <c r="H114" s="5"/>
      <c r="I114" s="5">
        <f t="shared" si="15"/>
        <v>8578227.4</v>
      </c>
    </row>
    <row r="115" spans="1:9" ht="9.75">
      <c r="A115" s="1" t="s">
        <v>110</v>
      </c>
      <c r="B115" s="45">
        <v>584</v>
      </c>
      <c r="C115" s="5">
        <v>7869563.55</v>
      </c>
      <c r="D115" s="5"/>
      <c r="E115" s="5">
        <v>7869563.55</v>
      </c>
      <c r="F115" s="5"/>
      <c r="G115" s="5">
        <f t="shared" si="14"/>
        <v>7869563.55</v>
      </c>
      <c r="H115" s="5"/>
      <c r="I115" s="5">
        <f t="shared" si="15"/>
        <v>7869563.55</v>
      </c>
    </row>
    <row r="116" spans="1:9" ht="9.75">
      <c r="A116" s="1" t="s">
        <v>111</v>
      </c>
      <c r="B116" s="45">
        <v>585</v>
      </c>
      <c r="C116" s="5">
        <v>3619484.65</v>
      </c>
      <c r="D116" s="5"/>
      <c r="E116" s="5">
        <v>3619484.65</v>
      </c>
      <c r="F116" s="5"/>
      <c r="G116" s="5">
        <f t="shared" si="14"/>
        <v>3619484.65</v>
      </c>
      <c r="H116" s="5"/>
      <c r="I116" s="5">
        <f t="shared" si="15"/>
        <v>3619484.65</v>
      </c>
    </row>
    <row r="117" spans="1:9" ht="9.75">
      <c r="A117" s="1" t="s">
        <v>112</v>
      </c>
      <c r="B117" s="45">
        <v>586</v>
      </c>
      <c r="C117" s="5">
        <v>9187449.78</v>
      </c>
      <c r="D117" s="5"/>
      <c r="E117" s="5">
        <v>9187449.78</v>
      </c>
      <c r="F117" s="5"/>
      <c r="G117" s="5">
        <f t="shared" si="14"/>
        <v>9187449.78</v>
      </c>
      <c r="H117" s="5"/>
      <c r="I117" s="5">
        <f t="shared" si="15"/>
        <v>9187449.78</v>
      </c>
    </row>
    <row r="118" spans="1:9" ht="9.75">
      <c r="A118" s="1" t="s">
        <v>113</v>
      </c>
      <c r="B118" s="45">
        <v>587</v>
      </c>
      <c r="C118" s="5">
        <v>2257729.04</v>
      </c>
      <c r="D118" s="5"/>
      <c r="E118" s="5">
        <v>2257729.04</v>
      </c>
      <c r="F118" s="5"/>
      <c r="G118" s="5">
        <f t="shared" si="14"/>
        <v>2257729.04</v>
      </c>
      <c r="H118" s="5"/>
      <c r="I118" s="5">
        <f t="shared" si="15"/>
        <v>2257729.04</v>
      </c>
    </row>
    <row r="119" spans="1:9" ht="9.75">
      <c r="A119" s="1" t="s">
        <v>114</v>
      </c>
      <c r="B119" s="45">
        <v>587</v>
      </c>
      <c r="C119" s="5">
        <v>275174.9</v>
      </c>
      <c r="D119" s="5">
        <v>-275174.9</v>
      </c>
      <c r="E119" s="5">
        <v>0</v>
      </c>
      <c r="F119" s="5"/>
      <c r="G119" s="5">
        <f t="shared" si="14"/>
        <v>0</v>
      </c>
      <c r="H119" s="5"/>
      <c r="I119" s="5">
        <f t="shared" si="15"/>
        <v>0</v>
      </c>
    </row>
    <row r="120" spans="1:9" ht="9.75">
      <c r="A120" s="1" t="s">
        <v>115</v>
      </c>
      <c r="B120" s="45">
        <v>588</v>
      </c>
      <c r="C120" s="5">
        <v>27949215.85</v>
      </c>
      <c r="D120" s="5"/>
      <c r="E120" s="5">
        <v>27949215.85</v>
      </c>
      <c r="F120" s="5"/>
      <c r="G120" s="5">
        <f t="shared" si="14"/>
        <v>27949215.85</v>
      </c>
      <c r="H120" s="5"/>
      <c r="I120" s="5">
        <f t="shared" si="15"/>
        <v>27949215.85</v>
      </c>
    </row>
    <row r="121" spans="1:9" ht="9.75">
      <c r="A121" s="1" t="s">
        <v>116</v>
      </c>
      <c r="B121" s="45">
        <v>589</v>
      </c>
      <c r="C121" s="5">
        <v>9129644.86</v>
      </c>
      <c r="D121" s="5"/>
      <c r="E121" s="5">
        <v>9129644.86</v>
      </c>
      <c r="F121" s="5"/>
      <c r="G121" s="5">
        <f t="shared" si="14"/>
        <v>9129644.86</v>
      </c>
      <c r="H121" s="5"/>
      <c r="I121" s="5">
        <f t="shared" si="15"/>
        <v>9129644.86</v>
      </c>
    </row>
    <row r="122" spans="1:9" ht="9.75">
      <c r="A122" s="1" t="s">
        <v>117</v>
      </c>
      <c r="B122" s="45">
        <v>590</v>
      </c>
      <c r="C122" s="5">
        <v>15661944.94</v>
      </c>
      <c r="D122" s="5"/>
      <c r="E122" s="5">
        <v>15661944.94</v>
      </c>
      <c r="F122" s="5"/>
      <c r="G122" s="5">
        <f t="shared" si="14"/>
        <v>15661944.94</v>
      </c>
      <c r="H122" s="5"/>
      <c r="I122" s="5">
        <f>G122+H122</f>
        <v>15661944.94</v>
      </c>
    </row>
    <row r="123" spans="1:9" ht="9.75">
      <c r="A123" s="1" t="s">
        <v>118</v>
      </c>
      <c r="B123" s="45">
        <v>590</v>
      </c>
      <c r="C123" s="5">
        <v>2398164.92</v>
      </c>
      <c r="D123" s="5">
        <v>-2398164.92</v>
      </c>
      <c r="E123" s="5">
        <v>0</v>
      </c>
      <c r="F123" s="5"/>
      <c r="G123" s="5">
        <f t="shared" si="14"/>
        <v>0</v>
      </c>
      <c r="H123" s="5"/>
      <c r="I123" s="5">
        <f>G123+H123</f>
        <v>0</v>
      </c>
    </row>
    <row r="124" spans="1:9" ht="9.75">
      <c r="A124" s="1" t="s">
        <v>119</v>
      </c>
      <c r="B124" s="45">
        <v>591</v>
      </c>
      <c r="C124" s="5">
        <v>225206.01</v>
      </c>
      <c r="D124" s="5"/>
      <c r="E124" s="5">
        <v>225206.01</v>
      </c>
      <c r="F124" s="5"/>
      <c r="G124" s="5">
        <f t="shared" si="14"/>
        <v>225206.01</v>
      </c>
      <c r="H124" s="5"/>
      <c r="I124" s="5">
        <f aca="true" t="shared" si="16" ref="I124:I132">G124+H124</f>
        <v>225206.01</v>
      </c>
    </row>
    <row r="125" spans="1:9" ht="9.75">
      <c r="A125" s="1" t="s">
        <v>120</v>
      </c>
      <c r="B125" s="45">
        <v>592</v>
      </c>
      <c r="C125" s="5">
        <v>7035866.31</v>
      </c>
      <c r="D125" s="5"/>
      <c r="E125" s="5">
        <v>7035866.31</v>
      </c>
      <c r="F125" s="5"/>
      <c r="G125" s="5">
        <f t="shared" si="14"/>
        <v>7035866.31</v>
      </c>
      <c r="H125" s="5"/>
      <c r="I125" s="5">
        <f t="shared" si="16"/>
        <v>7035866.31</v>
      </c>
    </row>
    <row r="126" spans="1:9" ht="9.75">
      <c r="A126" s="1" t="s">
        <v>121</v>
      </c>
      <c r="B126" s="45">
        <v>592</v>
      </c>
      <c r="C126" s="5">
        <v>1703324.72</v>
      </c>
      <c r="D126" s="5">
        <v>-1703324.72</v>
      </c>
      <c r="E126" s="5">
        <v>0</v>
      </c>
      <c r="F126" s="5"/>
      <c r="G126" s="5">
        <f t="shared" si="14"/>
        <v>0</v>
      </c>
      <c r="H126" s="5"/>
      <c r="I126" s="5">
        <f t="shared" si="16"/>
        <v>0</v>
      </c>
    </row>
    <row r="127" spans="1:9" ht="9.75">
      <c r="A127" s="1" t="s">
        <v>122</v>
      </c>
      <c r="B127" s="45">
        <v>593</v>
      </c>
      <c r="C127" s="5">
        <v>114115293.82</v>
      </c>
      <c r="D127" s="5"/>
      <c r="E127" s="5">
        <v>114115293.82</v>
      </c>
      <c r="F127" s="5"/>
      <c r="G127" s="5">
        <f t="shared" si="14"/>
        <v>114115293.82</v>
      </c>
      <c r="H127" s="5"/>
      <c r="I127" s="5">
        <f t="shared" si="16"/>
        <v>114115293.82</v>
      </c>
    </row>
    <row r="128" spans="1:9" ht="9.75">
      <c r="A128" s="1" t="s">
        <v>123</v>
      </c>
      <c r="B128" s="45">
        <v>594</v>
      </c>
      <c r="C128" s="5">
        <v>29276936.78</v>
      </c>
      <c r="D128" s="5"/>
      <c r="E128" s="5">
        <v>29276936.78</v>
      </c>
      <c r="F128" s="5"/>
      <c r="G128" s="5">
        <f t="shared" si="14"/>
        <v>29276936.78</v>
      </c>
      <c r="H128" s="5"/>
      <c r="I128" s="5">
        <f t="shared" si="16"/>
        <v>29276936.78</v>
      </c>
    </row>
    <row r="129" spans="1:9" ht="9.75">
      <c r="A129" s="1" t="s">
        <v>124</v>
      </c>
      <c r="B129" s="45">
        <v>595</v>
      </c>
      <c r="C129" s="5">
        <v>1428998.45</v>
      </c>
      <c r="D129" s="5"/>
      <c r="E129" s="5">
        <v>1428998.45</v>
      </c>
      <c r="F129" s="5"/>
      <c r="G129" s="5">
        <f t="shared" si="14"/>
        <v>1428998.45</v>
      </c>
      <c r="H129" s="5"/>
      <c r="I129" s="5">
        <f t="shared" si="16"/>
        <v>1428998.45</v>
      </c>
    </row>
    <row r="130" spans="1:9" ht="9.75">
      <c r="A130" s="1" t="s">
        <v>125</v>
      </c>
      <c r="B130" s="45">
        <v>596</v>
      </c>
      <c r="C130" s="5">
        <v>6758125.21</v>
      </c>
      <c r="D130" s="5"/>
      <c r="E130" s="5">
        <v>6758125.21</v>
      </c>
      <c r="F130" s="5"/>
      <c r="G130" s="5">
        <f t="shared" si="14"/>
        <v>6758125.21</v>
      </c>
      <c r="H130" s="5"/>
      <c r="I130" s="5">
        <f t="shared" si="16"/>
        <v>6758125.21</v>
      </c>
    </row>
    <row r="131" spans="1:9" ht="9.75">
      <c r="A131" s="1" t="s">
        <v>126</v>
      </c>
      <c r="B131" s="45">
        <v>597</v>
      </c>
      <c r="C131" s="5">
        <v>2653752.34</v>
      </c>
      <c r="D131" s="5"/>
      <c r="E131" s="5">
        <v>2653752.34</v>
      </c>
      <c r="F131" s="5"/>
      <c r="G131" s="5">
        <f>E131+F131</f>
        <v>2653752.34</v>
      </c>
      <c r="H131" s="5"/>
      <c r="I131" s="5">
        <f t="shared" si="16"/>
        <v>2653752.34</v>
      </c>
    </row>
    <row r="132" spans="1:9" ht="10.5" thickBot="1">
      <c r="A132" s="1" t="s">
        <v>127</v>
      </c>
      <c r="B132" s="45">
        <v>598</v>
      </c>
      <c r="C132" s="5">
        <v>5388442.03</v>
      </c>
      <c r="D132" s="5"/>
      <c r="E132" s="5">
        <v>5388442.03</v>
      </c>
      <c r="F132" s="5"/>
      <c r="G132" s="5">
        <f>E132+F132</f>
        <v>5388442.03</v>
      </c>
      <c r="H132" s="5"/>
      <c r="I132" s="5">
        <f t="shared" si="16"/>
        <v>5388442.03</v>
      </c>
    </row>
    <row r="133" spans="1:9" ht="9.75">
      <c r="A133" s="1" t="s">
        <v>128</v>
      </c>
      <c r="B133" s="45"/>
      <c r="C133" s="6">
        <f aca="true" t="shared" si="17" ref="C133:I133">SUM(C111:C132)</f>
        <v>280915613.42999995</v>
      </c>
      <c r="D133" s="6">
        <f t="shared" si="17"/>
        <v>-4376664.54</v>
      </c>
      <c r="E133" s="6">
        <f t="shared" si="17"/>
        <v>276538948.8899999</v>
      </c>
      <c r="F133" s="6">
        <f t="shared" si="17"/>
        <v>0</v>
      </c>
      <c r="G133" s="19">
        <f t="shared" si="17"/>
        <v>276538948.8899999</v>
      </c>
      <c r="H133" s="6">
        <f t="shared" si="17"/>
        <v>-2512162.53554</v>
      </c>
      <c r="I133" s="19">
        <f t="shared" si="17"/>
        <v>274026786.35445994</v>
      </c>
    </row>
    <row r="134" spans="1:9" ht="9.75">
      <c r="A134" s="1"/>
      <c r="B134" s="45"/>
      <c r="C134" s="5"/>
      <c r="D134" s="5"/>
      <c r="E134" s="5"/>
      <c r="F134" s="5"/>
      <c r="G134" s="5"/>
      <c r="H134" s="5"/>
      <c r="I134" s="5"/>
    </row>
    <row r="135" spans="1:9" ht="10.5" thickBot="1">
      <c r="A135" s="15" t="s">
        <v>129</v>
      </c>
      <c r="B135" s="44"/>
      <c r="C135" s="5"/>
      <c r="D135" s="5"/>
      <c r="E135" s="5"/>
      <c r="F135" s="5"/>
      <c r="G135" s="5"/>
      <c r="H135" s="5"/>
      <c r="I135" s="5"/>
    </row>
    <row r="136" spans="1:9" ht="9.75">
      <c r="A136" s="1" t="s">
        <v>130</v>
      </c>
      <c r="B136" s="45">
        <v>901</v>
      </c>
      <c r="C136" s="5">
        <v>5861841.59</v>
      </c>
      <c r="D136" s="5"/>
      <c r="E136" s="5">
        <v>5861841.59</v>
      </c>
      <c r="F136" s="5"/>
      <c r="G136" s="5">
        <f aca="true" t="shared" si="18" ref="G136:G141">E136+F136</f>
        <v>5861841.59</v>
      </c>
      <c r="H136" s="5"/>
      <c r="I136" s="5">
        <f aca="true" t="shared" si="19" ref="I136:I142">G136+H136</f>
        <v>5861841.59</v>
      </c>
    </row>
    <row r="137" spans="1:9" ht="9.75">
      <c r="A137" s="1" t="s">
        <v>131</v>
      </c>
      <c r="B137" s="45">
        <v>902</v>
      </c>
      <c r="C137" s="5">
        <v>33308077.24</v>
      </c>
      <c r="D137" s="5"/>
      <c r="E137" s="5">
        <v>33308077.24</v>
      </c>
      <c r="F137" s="5"/>
      <c r="G137" s="5">
        <f t="shared" si="18"/>
        <v>33308077.24</v>
      </c>
      <c r="H137" s="5"/>
      <c r="I137" s="5">
        <f t="shared" si="19"/>
        <v>33308077.24</v>
      </c>
    </row>
    <row r="138" spans="1:9" ht="9.75">
      <c r="A138" s="1" t="s">
        <v>132</v>
      </c>
      <c r="B138" s="45">
        <v>903</v>
      </c>
      <c r="C138" s="5">
        <v>104209223.28</v>
      </c>
      <c r="D138" s="5"/>
      <c r="E138" s="5">
        <v>104209223.28</v>
      </c>
      <c r="F138" s="5"/>
      <c r="G138" s="5">
        <f t="shared" si="18"/>
        <v>104209223.28</v>
      </c>
      <c r="H138" s="5">
        <f>-15520589*0.10601</f>
        <v>-1645337.63989</v>
      </c>
      <c r="I138" s="5">
        <f t="shared" si="19"/>
        <v>102563885.64011</v>
      </c>
    </row>
    <row r="139" spans="1:9" ht="9.75">
      <c r="A139" s="1" t="s">
        <v>133</v>
      </c>
      <c r="B139" s="45">
        <v>904</v>
      </c>
      <c r="C139" s="5">
        <v>26088426.85</v>
      </c>
      <c r="D139" s="5">
        <v>0</v>
      </c>
      <c r="E139" s="5">
        <v>26088426.85</v>
      </c>
      <c r="F139" s="5"/>
      <c r="G139" s="5">
        <f t="shared" si="18"/>
        <v>26088426.85</v>
      </c>
      <c r="H139" s="5"/>
      <c r="I139" s="5">
        <f t="shared" si="19"/>
        <v>26088426.85</v>
      </c>
    </row>
    <row r="140" spans="1:9" ht="9.75">
      <c r="A140" s="1" t="s">
        <v>134</v>
      </c>
      <c r="B140" s="45">
        <v>904</v>
      </c>
      <c r="C140" s="5">
        <v>237487</v>
      </c>
      <c r="D140" s="5">
        <v>-237487</v>
      </c>
      <c r="E140" s="5">
        <v>0</v>
      </c>
      <c r="F140" s="5"/>
      <c r="G140" s="5">
        <f t="shared" si="18"/>
        <v>0</v>
      </c>
      <c r="H140" s="5"/>
      <c r="I140" s="5">
        <f t="shared" si="19"/>
        <v>0</v>
      </c>
    </row>
    <row r="141" spans="1:9" ht="9.75">
      <c r="A141" s="1" t="s">
        <v>135</v>
      </c>
      <c r="B141" s="45">
        <v>905</v>
      </c>
      <c r="C141" s="5">
        <v>0</v>
      </c>
      <c r="D141" s="5"/>
      <c r="E141" s="5">
        <v>0</v>
      </c>
      <c r="F141" s="5"/>
      <c r="G141" s="5">
        <f t="shared" si="18"/>
        <v>0</v>
      </c>
      <c r="H141" s="5"/>
      <c r="I141" s="5">
        <f t="shared" si="19"/>
        <v>0</v>
      </c>
    </row>
    <row r="142" spans="1:9" ht="10.5" thickBot="1">
      <c r="A142" s="1" t="s">
        <v>196</v>
      </c>
      <c r="B142" s="45"/>
      <c r="C142" s="5"/>
      <c r="D142" s="5"/>
      <c r="E142" s="5"/>
      <c r="F142" s="5"/>
      <c r="G142" s="5"/>
      <c r="H142" s="5">
        <v>3805000</v>
      </c>
      <c r="I142" s="5">
        <f t="shared" si="19"/>
        <v>3805000</v>
      </c>
    </row>
    <row r="143" spans="1:9" ht="9.75">
      <c r="A143" s="1" t="s">
        <v>136</v>
      </c>
      <c r="B143" s="45"/>
      <c r="C143" s="6">
        <f>SUM(C136:C141)</f>
        <v>169705055.96</v>
      </c>
      <c r="D143" s="6">
        <f>SUM(D136:D141)</f>
        <v>-237487</v>
      </c>
      <c r="E143" s="6">
        <f>SUM(E136:E141)</f>
        <v>169467568.96</v>
      </c>
      <c r="F143" s="6">
        <f>SUM(F136:F141)</f>
        <v>0</v>
      </c>
      <c r="G143" s="19">
        <f>SUM(G136:G142)</f>
        <v>169467568.96</v>
      </c>
      <c r="H143" s="6">
        <f>SUM(H136:H142)</f>
        <v>2159662.36011</v>
      </c>
      <c r="I143" s="19">
        <f>SUM(I136:I142)</f>
        <v>171627231.32011</v>
      </c>
    </row>
    <row r="144" spans="1:9" ht="9.75">
      <c r="A144" s="1"/>
      <c r="B144" s="45"/>
      <c r="C144" s="5"/>
      <c r="D144" s="5"/>
      <c r="E144" s="5"/>
      <c r="F144" s="5"/>
      <c r="G144" s="5"/>
      <c r="H144" s="5"/>
      <c r="I144" s="5"/>
    </row>
    <row r="145" spans="1:9" ht="10.5" thickBot="1">
      <c r="A145" s="15" t="s">
        <v>137</v>
      </c>
      <c r="B145" s="44"/>
      <c r="C145" s="5"/>
      <c r="D145" s="5"/>
      <c r="E145" s="5"/>
      <c r="F145" s="5"/>
      <c r="G145" s="5"/>
      <c r="H145" s="5"/>
      <c r="I145" s="5"/>
    </row>
    <row r="146" spans="1:9" ht="9.75">
      <c r="A146" s="1" t="s">
        <v>138</v>
      </c>
      <c r="B146" s="45">
        <v>907</v>
      </c>
      <c r="C146" s="5">
        <v>6877488.76</v>
      </c>
      <c r="D146" s="5"/>
      <c r="E146" s="5">
        <v>6877488.76</v>
      </c>
      <c r="F146" s="5"/>
      <c r="G146" s="5">
        <f aca="true" t="shared" si="20" ref="G146:G153">E146+F146</f>
        <v>6877488.76</v>
      </c>
      <c r="H146" s="5">
        <f>-15520589*0.01179</f>
        <v>-182987.74431</v>
      </c>
      <c r="I146" s="5">
        <f aca="true" t="shared" si="21" ref="I146:I153">G146+H146</f>
        <v>6694501.01569</v>
      </c>
    </row>
    <row r="147" spans="1:9" ht="9.75">
      <c r="A147" s="1" t="s">
        <v>139</v>
      </c>
      <c r="B147" s="45">
        <v>907</v>
      </c>
      <c r="C147" s="5">
        <v>12756630.07</v>
      </c>
      <c r="D147" s="5">
        <v>-12756630.07</v>
      </c>
      <c r="E147" s="5">
        <v>0</v>
      </c>
      <c r="F147" s="5"/>
      <c r="G147" s="5">
        <f t="shared" si="20"/>
        <v>0</v>
      </c>
      <c r="H147" s="5"/>
      <c r="I147" s="5">
        <f t="shared" si="21"/>
        <v>0</v>
      </c>
    </row>
    <row r="148" spans="1:9" ht="9.75">
      <c r="A148" s="1" t="s">
        <v>140</v>
      </c>
      <c r="B148" s="45">
        <v>908</v>
      </c>
      <c r="C148" s="5">
        <v>2797865.9</v>
      </c>
      <c r="D148" s="5"/>
      <c r="E148" s="5">
        <v>2797865.9</v>
      </c>
      <c r="F148" s="5"/>
      <c r="G148" s="5">
        <f t="shared" si="20"/>
        <v>2797865.9</v>
      </c>
      <c r="H148" s="5"/>
      <c r="I148" s="5">
        <f t="shared" si="21"/>
        <v>2797865.9</v>
      </c>
    </row>
    <row r="149" spans="1:9" ht="9.75">
      <c r="A149" s="1" t="s">
        <v>141</v>
      </c>
      <c r="B149" s="45">
        <v>908</v>
      </c>
      <c r="C149" s="5">
        <v>72243339.2</v>
      </c>
      <c r="D149" s="5">
        <v>-72243339.2</v>
      </c>
      <c r="E149" s="5">
        <v>0</v>
      </c>
      <c r="F149" s="5"/>
      <c r="G149" s="5">
        <f t="shared" si="20"/>
        <v>0</v>
      </c>
      <c r="H149" s="5"/>
      <c r="I149" s="5">
        <f t="shared" si="21"/>
        <v>0</v>
      </c>
    </row>
    <row r="150" spans="1:9" ht="9.75">
      <c r="A150" s="1" t="s">
        <v>142</v>
      </c>
      <c r="B150" s="45">
        <v>909</v>
      </c>
      <c r="C150" s="5">
        <v>1399160.77</v>
      </c>
      <c r="D150" s="5"/>
      <c r="E150" s="5">
        <v>1399160.77</v>
      </c>
      <c r="F150" s="5"/>
      <c r="G150" s="5">
        <f t="shared" si="20"/>
        <v>1399160.77</v>
      </c>
      <c r="H150" s="5"/>
      <c r="I150" s="5">
        <f t="shared" si="21"/>
        <v>1399160.77</v>
      </c>
    </row>
    <row r="151" spans="1:9" ht="9.75">
      <c r="A151" s="1" t="s">
        <v>143</v>
      </c>
      <c r="B151" s="45">
        <v>909</v>
      </c>
      <c r="C151" s="5">
        <v>3330434.98</v>
      </c>
      <c r="D151" s="5">
        <v>-3330434.98</v>
      </c>
      <c r="E151" s="5">
        <v>0</v>
      </c>
      <c r="F151" s="5"/>
      <c r="G151" s="5">
        <f t="shared" si="20"/>
        <v>0</v>
      </c>
      <c r="H151" s="5"/>
      <c r="I151" s="5">
        <f t="shared" si="21"/>
        <v>0</v>
      </c>
    </row>
    <row r="152" spans="1:9" ht="9.75">
      <c r="A152" s="1" t="s">
        <v>144</v>
      </c>
      <c r="B152" s="45">
        <v>910</v>
      </c>
      <c r="C152" s="5">
        <v>6795675.72</v>
      </c>
      <c r="D152" s="5"/>
      <c r="E152" s="5">
        <v>6795675.72</v>
      </c>
      <c r="F152" s="5"/>
      <c r="G152" s="5">
        <f t="shared" si="20"/>
        <v>6795675.72</v>
      </c>
      <c r="H152" s="5"/>
      <c r="I152" s="5">
        <f t="shared" si="21"/>
        <v>6795675.72</v>
      </c>
    </row>
    <row r="153" spans="1:9" ht="10.5" thickBot="1">
      <c r="A153" s="1" t="s">
        <v>145</v>
      </c>
      <c r="B153" s="45">
        <v>910</v>
      </c>
      <c r="C153" s="5">
        <v>3331777.72</v>
      </c>
      <c r="D153" s="5">
        <v>-3331777.72</v>
      </c>
      <c r="E153" s="5">
        <v>0</v>
      </c>
      <c r="F153" s="5"/>
      <c r="G153" s="5">
        <f t="shared" si="20"/>
        <v>0</v>
      </c>
      <c r="H153" s="5"/>
      <c r="I153" s="5">
        <f t="shared" si="21"/>
        <v>0</v>
      </c>
    </row>
    <row r="154" spans="1:9" ht="9.75">
      <c r="A154" s="1" t="s">
        <v>146</v>
      </c>
      <c r="B154" s="45"/>
      <c r="C154" s="6">
        <f aca="true" t="shared" si="22" ref="C154:I154">SUM(C146:C153)</f>
        <v>109532373.12</v>
      </c>
      <c r="D154" s="6">
        <f t="shared" si="22"/>
        <v>-91662181.97000001</v>
      </c>
      <c r="E154" s="6">
        <f t="shared" si="22"/>
        <v>17870191.15</v>
      </c>
      <c r="F154" s="6">
        <f t="shared" si="22"/>
        <v>0</v>
      </c>
      <c r="G154" s="19">
        <f t="shared" si="22"/>
        <v>17870191.15</v>
      </c>
      <c r="H154" s="6">
        <f t="shared" si="22"/>
        <v>-182987.74431</v>
      </c>
      <c r="I154" s="19">
        <f t="shared" si="22"/>
        <v>17687203.40569</v>
      </c>
    </row>
    <row r="155" spans="1:9" ht="9.75">
      <c r="A155" s="1"/>
      <c r="B155" s="45"/>
      <c r="C155" s="5"/>
      <c r="D155" s="5"/>
      <c r="E155" s="5"/>
      <c r="F155" s="5"/>
      <c r="G155" s="5"/>
      <c r="H155" s="5"/>
      <c r="I155" s="5"/>
    </row>
    <row r="156" spans="1:9" ht="10.5" thickBot="1">
      <c r="A156" s="15" t="s">
        <v>147</v>
      </c>
      <c r="B156" s="44"/>
      <c r="C156" s="5"/>
      <c r="D156" s="5"/>
      <c r="E156" s="5"/>
      <c r="F156" s="5"/>
      <c r="G156" s="5"/>
      <c r="H156" s="5"/>
      <c r="I156" s="5"/>
    </row>
    <row r="157" spans="1:9" ht="9.75">
      <c r="A157" s="1" t="s">
        <v>148</v>
      </c>
      <c r="B157" s="45">
        <v>911</v>
      </c>
      <c r="C157" s="5">
        <v>31.37</v>
      </c>
      <c r="D157" s="5"/>
      <c r="E157" s="5">
        <v>31.37</v>
      </c>
      <c r="F157" s="5"/>
      <c r="G157" s="5">
        <f>E157+F157</f>
        <v>31.37</v>
      </c>
      <c r="H157" s="5">
        <f>-15520589*0</f>
        <v>0</v>
      </c>
      <c r="I157" s="5">
        <f>G157+H157</f>
        <v>31.37</v>
      </c>
    </row>
    <row r="158" spans="1:9" ht="9.75">
      <c r="A158" s="1" t="s">
        <v>149</v>
      </c>
      <c r="B158" s="45">
        <v>912</v>
      </c>
      <c r="C158" s="5">
        <v>0</v>
      </c>
      <c r="D158" s="5"/>
      <c r="E158" s="5">
        <v>0</v>
      </c>
      <c r="F158" s="5"/>
      <c r="G158" s="5">
        <f>E158+F158</f>
        <v>0</v>
      </c>
      <c r="H158" s="5"/>
      <c r="I158" s="5">
        <f>G158+H158</f>
        <v>0</v>
      </c>
    </row>
    <row r="159" spans="1:9" ht="10.5" thickBot="1">
      <c r="A159" s="1" t="s">
        <v>150</v>
      </c>
      <c r="B159" s="45">
        <v>916</v>
      </c>
      <c r="C159" s="5">
        <v>29525974.18</v>
      </c>
      <c r="D159" s="5"/>
      <c r="E159" s="5">
        <v>29525974.18</v>
      </c>
      <c r="F159" s="5"/>
      <c r="G159" s="5">
        <f>E159+F159</f>
        <v>29525974.18</v>
      </c>
      <c r="H159" s="5"/>
      <c r="I159" s="5">
        <f>G159+H159</f>
        <v>29525974.18</v>
      </c>
    </row>
    <row r="160" spans="1:9" ht="9.75">
      <c r="A160" s="1" t="s">
        <v>151</v>
      </c>
      <c r="B160" s="45"/>
      <c r="C160" s="6">
        <f aca="true" t="shared" si="23" ref="C160:I160">SUM(C157:C159)</f>
        <v>29526005.55</v>
      </c>
      <c r="D160" s="6">
        <f t="shared" si="23"/>
        <v>0</v>
      </c>
      <c r="E160" s="6">
        <f t="shared" si="23"/>
        <v>29526005.55</v>
      </c>
      <c r="F160" s="6">
        <f t="shared" si="23"/>
        <v>0</v>
      </c>
      <c r="G160" s="19">
        <f t="shared" si="23"/>
        <v>29526005.55</v>
      </c>
      <c r="H160" s="6">
        <f t="shared" si="23"/>
        <v>0</v>
      </c>
      <c r="I160" s="19">
        <f t="shared" si="23"/>
        <v>29526005.55</v>
      </c>
    </row>
    <row r="161" spans="1:9" ht="9.75">
      <c r="A161" s="1"/>
      <c r="B161" s="45"/>
      <c r="C161" s="5"/>
      <c r="D161" s="5"/>
      <c r="E161" s="5"/>
      <c r="F161" s="5"/>
      <c r="G161" s="5"/>
      <c r="H161" s="5"/>
      <c r="I161" s="5"/>
    </row>
    <row r="162" spans="1:9" ht="10.5" thickBot="1">
      <c r="A162" s="15" t="s">
        <v>152</v>
      </c>
      <c r="B162" s="44"/>
      <c r="C162" s="5"/>
      <c r="D162" s="5"/>
      <c r="E162" s="5"/>
      <c r="F162" s="5"/>
      <c r="G162" s="5"/>
      <c r="H162" s="5"/>
      <c r="I162" s="5"/>
    </row>
    <row r="163" spans="1:9" ht="9.75">
      <c r="A163" s="1" t="s">
        <v>153</v>
      </c>
      <c r="B163" s="45">
        <v>920</v>
      </c>
      <c r="C163" s="5">
        <v>197008799.54</v>
      </c>
      <c r="D163" s="5"/>
      <c r="E163" s="5">
        <v>197008799.54</v>
      </c>
      <c r="F163" s="5">
        <v>-257000</v>
      </c>
      <c r="G163" s="5">
        <f aca="true" t="shared" si="24" ref="G163:G196">E163+F163</f>
        <v>196751799.54</v>
      </c>
      <c r="H163" s="5"/>
      <c r="I163" s="5">
        <f aca="true" t="shared" si="25" ref="I163:I168">G163+H163</f>
        <v>196751799.54</v>
      </c>
    </row>
    <row r="164" spans="1:9" ht="9.75">
      <c r="A164" s="1" t="s">
        <v>154</v>
      </c>
      <c r="B164" s="45">
        <v>920</v>
      </c>
      <c r="C164" s="5">
        <v>18618</v>
      </c>
      <c r="D164" s="5"/>
      <c r="E164" s="5">
        <v>18618</v>
      </c>
      <c r="F164" s="5">
        <f>-E164</f>
        <v>-18618</v>
      </c>
      <c r="G164" s="5">
        <f t="shared" si="24"/>
        <v>0</v>
      </c>
      <c r="H164" s="5"/>
      <c r="I164" s="5">
        <f t="shared" si="25"/>
        <v>0</v>
      </c>
    </row>
    <row r="165" spans="1:9" ht="9.75">
      <c r="A165" s="1" t="s">
        <v>155</v>
      </c>
      <c r="B165" s="45">
        <v>921</v>
      </c>
      <c r="C165" s="5">
        <v>65374701.28</v>
      </c>
      <c r="D165" s="5">
        <v>-320644</v>
      </c>
      <c r="E165" s="5">
        <v>65054057.28</v>
      </c>
      <c r="F165" s="5"/>
      <c r="G165" s="5">
        <f t="shared" si="24"/>
        <v>65054057.28</v>
      </c>
      <c r="H165" s="5"/>
      <c r="I165" s="5">
        <f t="shared" si="25"/>
        <v>65054057.28</v>
      </c>
    </row>
    <row r="166" spans="1:9" ht="9.75">
      <c r="A166" s="1" t="s">
        <v>156</v>
      </c>
      <c r="B166" s="45">
        <v>921</v>
      </c>
      <c r="C166" s="5">
        <v>11420.04</v>
      </c>
      <c r="D166" s="5"/>
      <c r="E166" s="5">
        <v>11420.04</v>
      </c>
      <c r="F166" s="5">
        <f>-E166</f>
        <v>-11420.04</v>
      </c>
      <c r="G166" s="5">
        <f t="shared" si="24"/>
        <v>0</v>
      </c>
      <c r="H166" s="5"/>
      <c r="I166" s="5">
        <f t="shared" si="25"/>
        <v>0</v>
      </c>
    </row>
    <row r="167" spans="1:9" ht="9.75">
      <c r="A167" s="1" t="s">
        <v>157</v>
      </c>
      <c r="B167" s="45">
        <v>921</v>
      </c>
      <c r="C167" s="5">
        <v>124999.92</v>
      </c>
      <c r="D167" s="5">
        <v>-124999.92</v>
      </c>
      <c r="E167" s="5">
        <v>0</v>
      </c>
      <c r="F167" s="5"/>
      <c r="G167" s="5">
        <f t="shared" si="24"/>
        <v>0</v>
      </c>
      <c r="H167" s="5"/>
      <c r="I167" s="5">
        <f t="shared" si="25"/>
        <v>0</v>
      </c>
    </row>
    <row r="168" spans="1:9" ht="9.75">
      <c r="A168" s="1" t="s">
        <v>158</v>
      </c>
      <c r="B168" s="45">
        <v>922</v>
      </c>
      <c r="C168" s="5">
        <v>-74099861.13</v>
      </c>
      <c r="D168" s="5"/>
      <c r="E168" s="5">
        <v>-74099861.13</v>
      </c>
      <c r="F168" s="5"/>
      <c r="G168" s="5">
        <f t="shared" si="24"/>
        <v>-74099861.13</v>
      </c>
      <c r="H168" s="5"/>
      <c r="I168" s="5">
        <f t="shared" si="25"/>
        <v>-74099861.13</v>
      </c>
    </row>
    <row r="169" spans="1:9" ht="9.75">
      <c r="A169" s="1" t="s">
        <v>159</v>
      </c>
      <c r="B169" s="45">
        <v>922</v>
      </c>
      <c r="C169" s="5">
        <v>-450999.97</v>
      </c>
      <c r="D169" s="5">
        <v>450999.97</v>
      </c>
      <c r="E169" s="5">
        <v>0</v>
      </c>
      <c r="F169" s="5"/>
      <c r="G169" s="5">
        <f t="shared" si="24"/>
        <v>0</v>
      </c>
      <c r="H169" s="5"/>
      <c r="I169" s="5">
        <f aca="true" t="shared" si="26" ref="I169:I202">G169+H169</f>
        <v>0</v>
      </c>
    </row>
    <row r="170" spans="1:9" ht="9.75">
      <c r="A170" s="1" t="s">
        <v>160</v>
      </c>
      <c r="B170" s="45">
        <v>922</v>
      </c>
      <c r="C170" s="5">
        <v>57692.04</v>
      </c>
      <c r="D170" s="5"/>
      <c r="E170" s="5">
        <v>57692.04</v>
      </c>
      <c r="F170" s="5">
        <f>-E170</f>
        <v>-57692.04</v>
      </c>
      <c r="G170" s="5">
        <f t="shared" si="24"/>
        <v>0</v>
      </c>
      <c r="H170" s="5"/>
      <c r="I170" s="5">
        <f t="shared" si="26"/>
        <v>0</v>
      </c>
    </row>
    <row r="171" spans="1:9" ht="9.75">
      <c r="A171" s="1" t="s">
        <v>161</v>
      </c>
      <c r="B171" s="45">
        <v>923</v>
      </c>
      <c r="C171" s="5">
        <v>27591811.53</v>
      </c>
      <c r="D171" s="5"/>
      <c r="E171" s="5">
        <v>27591811.53</v>
      </c>
      <c r="F171" s="5"/>
      <c r="G171" s="5">
        <f t="shared" si="24"/>
        <v>27591811.53</v>
      </c>
      <c r="H171" s="5"/>
      <c r="I171" s="5">
        <f t="shared" si="26"/>
        <v>27591811.53</v>
      </c>
    </row>
    <row r="172" spans="1:9" ht="9.75">
      <c r="A172" s="1" t="s">
        <v>162</v>
      </c>
      <c r="B172" s="45">
        <v>923</v>
      </c>
      <c r="C172" s="5">
        <v>63500.04</v>
      </c>
      <c r="D172" s="5"/>
      <c r="E172" s="5">
        <v>63500.04</v>
      </c>
      <c r="F172" s="5">
        <f>-E172</f>
        <v>-63500.04</v>
      </c>
      <c r="G172" s="5">
        <f t="shared" si="24"/>
        <v>0</v>
      </c>
      <c r="H172" s="5"/>
      <c r="I172" s="5">
        <f t="shared" si="26"/>
        <v>0</v>
      </c>
    </row>
    <row r="173" spans="1:9" ht="9.75">
      <c r="A173" s="1" t="s">
        <v>163</v>
      </c>
      <c r="B173" s="45">
        <v>923</v>
      </c>
      <c r="C173" s="5">
        <v>326000.04</v>
      </c>
      <c r="D173" s="5">
        <v>-326000.04</v>
      </c>
      <c r="E173" s="5">
        <v>0</v>
      </c>
      <c r="F173" s="5"/>
      <c r="G173" s="5">
        <f t="shared" si="24"/>
        <v>0</v>
      </c>
      <c r="H173" s="5"/>
      <c r="I173" s="5">
        <f t="shared" si="26"/>
        <v>0</v>
      </c>
    </row>
    <row r="174" spans="1:9" ht="9.75">
      <c r="A174" s="1" t="s">
        <v>164</v>
      </c>
      <c r="B174" s="45">
        <v>924</v>
      </c>
      <c r="C174" s="5">
        <v>8966777.42</v>
      </c>
      <c r="D174" s="5">
        <v>-359897</v>
      </c>
      <c r="E174" s="5">
        <v>8606880</v>
      </c>
      <c r="F174" s="5"/>
      <c r="G174" s="5">
        <f t="shared" si="24"/>
        <v>8606880</v>
      </c>
      <c r="H174" s="5"/>
      <c r="I174" s="5">
        <f t="shared" si="26"/>
        <v>8606880</v>
      </c>
    </row>
    <row r="175" spans="1:9" ht="9.75">
      <c r="A175" s="1" t="s">
        <v>165</v>
      </c>
      <c r="B175" s="45">
        <v>924</v>
      </c>
      <c r="C175" s="5">
        <v>-2270720.08</v>
      </c>
      <c r="D175" s="5"/>
      <c r="E175" s="5">
        <v>-2270720.08</v>
      </c>
      <c r="F175" s="5"/>
      <c r="G175" s="5">
        <f t="shared" si="24"/>
        <v>-2270720.08</v>
      </c>
      <c r="H175" s="5"/>
      <c r="I175" s="5">
        <f t="shared" si="26"/>
        <v>-2270720.08</v>
      </c>
    </row>
    <row r="176" spans="1:9" ht="9.75">
      <c r="A176" s="1" t="s">
        <v>166</v>
      </c>
      <c r="B176" s="45">
        <v>924</v>
      </c>
      <c r="C176" s="5">
        <v>450999.97</v>
      </c>
      <c r="D176" s="5">
        <v>-450999.97</v>
      </c>
      <c r="E176" s="5">
        <v>0</v>
      </c>
      <c r="F176" s="5"/>
      <c r="G176" s="5">
        <f t="shared" si="24"/>
        <v>0</v>
      </c>
      <c r="H176" s="5"/>
      <c r="I176" s="5">
        <f t="shared" si="26"/>
        <v>0</v>
      </c>
    </row>
    <row r="177" spans="1:9" ht="9.75">
      <c r="A177" s="1" t="s">
        <v>167</v>
      </c>
      <c r="B177" s="45">
        <v>924</v>
      </c>
      <c r="C177" s="5">
        <v>15153.96</v>
      </c>
      <c r="D177" s="5"/>
      <c r="E177" s="5">
        <v>15153.96</v>
      </c>
      <c r="F177" s="5">
        <f>-E177</f>
        <v>-15153.96</v>
      </c>
      <c r="G177" s="5">
        <f t="shared" si="24"/>
        <v>0</v>
      </c>
      <c r="H177" s="5"/>
      <c r="I177" s="5">
        <f t="shared" si="26"/>
        <v>0</v>
      </c>
    </row>
    <row r="178" spans="1:9" ht="9.75">
      <c r="A178" s="1" t="s">
        <v>168</v>
      </c>
      <c r="B178" s="45">
        <v>925</v>
      </c>
      <c r="C178" s="5">
        <v>31341552.93</v>
      </c>
      <c r="D178" s="5"/>
      <c r="E178" s="5">
        <v>31341552.93</v>
      </c>
      <c r="F178" s="5"/>
      <c r="G178" s="5">
        <f t="shared" si="24"/>
        <v>31341552.93</v>
      </c>
      <c r="H178" s="5"/>
      <c r="I178" s="5">
        <f t="shared" si="26"/>
        <v>31341552.93</v>
      </c>
    </row>
    <row r="179" spans="1:9" ht="9.75">
      <c r="A179" s="1" t="s">
        <v>169</v>
      </c>
      <c r="B179" s="45">
        <v>925</v>
      </c>
      <c r="C179" s="5">
        <v>-15132.93</v>
      </c>
      <c r="D179" s="5">
        <v>15132.93</v>
      </c>
      <c r="E179" s="5">
        <v>0</v>
      </c>
      <c r="F179" s="5"/>
      <c r="G179" s="5">
        <f t="shared" si="24"/>
        <v>0</v>
      </c>
      <c r="H179" s="5"/>
      <c r="I179" s="5">
        <f t="shared" si="26"/>
        <v>0</v>
      </c>
    </row>
    <row r="180" spans="1:9" ht="9.75">
      <c r="A180" s="1" t="s">
        <v>170</v>
      </c>
      <c r="B180" s="45">
        <v>925</v>
      </c>
      <c r="C180" s="5">
        <v>3003</v>
      </c>
      <c r="D180" s="5"/>
      <c r="E180" s="5">
        <v>3003</v>
      </c>
      <c r="F180" s="5">
        <f>-E180</f>
        <v>-3003</v>
      </c>
      <c r="G180" s="5">
        <f t="shared" si="24"/>
        <v>0</v>
      </c>
      <c r="H180" s="5"/>
      <c r="I180" s="5">
        <f t="shared" si="26"/>
        <v>0</v>
      </c>
    </row>
    <row r="181" spans="1:9" ht="9.75">
      <c r="A181" s="1" t="s">
        <v>171</v>
      </c>
      <c r="B181" s="45">
        <v>926</v>
      </c>
      <c r="C181" s="5">
        <v>84833821.11</v>
      </c>
      <c r="D181" s="5"/>
      <c r="E181" s="5">
        <v>84833821.11</v>
      </c>
      <c r="F181" s="5"/>
      <c r="G181" s="5">
        <f t="shared" si="24"/>
        <v>84833821.11</v>
      </c>
      <c r="H181" s="5"/>
      <c r="I181" s="5">
        <f t="shared" si="26"/>
        <v>84833821.11</v>
      </c>
    </row>
    <row r="182" spans="1:9" ht="9.75">
      <c r="A182" s="1" t="s">
        <v>172</v>
      </c>
      <c r="B182" s="45">
        <v>926</v>
      </c>
      <c r="C182" s="5">
        <v>74633.04</v>
      </c>
      <c r="D182" s="5">
        <v>-74633.04</v>
      </c>
      <c r="E182" s="5">
        <v>0</v>
      </c>
      <c r="F182" s="5"/>
      <c r="G182" s="5">
        <f t="shared" si="24"/>
        <v>0</v>
      </c>
      <c r="H182" s="5"/>
      <c r="I182" s="5">
        <f t="shared" si="26"/>
        <v>0</v>
      </c>
    </row>
    <row r="183" spans="1:9" ht="9.75">
      <c r="A183" s="1" t="s">
        <v>173</v>
      </c>
      <c r="B183" s="45">
        <v>926</v>
      </c>
      <c r="C183" s="5">
        <v>69435.91</v>
      </c>
      <c r="D183" s="5">
        <v>-69435.91</v>
      </c>
      <c r="E183" s="5">
        <v>0</v>
      </c>
      <c r="F183" s="5"/>
      <c r="G183" s="5">
        <f t="shared" si="24"/>
        <v>0</v>
      </c>
      <c r="H183" s="5"/>
      <c r="I183" s="5">
        <f t="shared" si="26"/>
        <v>0</v>
      </c>
    </row>
    <row r="184" spans="1:9" ht="9.75">
      <c r="A184" s="1" t="s">
        <v>174</v>
      </c>
      <c r="B184" s="45">
        <v>926</v>
      </c>
      <c r="C184" s="5">
        <v>1955482.26</v>
      </c>
      <c r="D184" s="5">
        <v>-1955482.26</v>
      </c>
      <c r="E184" s="5">
        <v>0</v>
      </c>
      <c r="F184" s="5"/>
      <c r="G184" s="5">
        <f t="shared" si="24"/>
        <v>0</v>
      </c>
      <c r="H184" s="5"/>
      <c r="I184" s="5">
        <f t="shared" si="26"/>
        <v>0</v>
      </c>
    </row>
    <row r="185" spans="1:9" ht="9.75">
      <c r="A185" s="1" t="s">
        <v>175</v>
      </c>
      <c r="B185" s="45">
        <v>926</v>
      </c>
      <c r="C185" s="5">
        <v>0</v>
      </c>
      <c r="D185" s="5">
        <v>0</v>
      </c>
      <c r="E185" s="5">
        <v>0</v>
      </c>
      <c r="F185" s="5"/>
      <c r="G185" s="5">
        <f t="shared" si="24"/>
        <v>0</v>
      </c>
      <c r="H185" s="5"/>
      <c r="I185" s="5">
        <f t="shared" si="26"/>
        <v>0</v>
      </c>
    </row>
    <row r="186" spans="1:9" ht="9.75">
      <c r="A186" s="1" t="s">
        <v>176</v>
      </c>
      <c r="B186" s="45">
        <v>926</v>
      </c>
      <c r="C186" s="5">
        <v>18138.96</v>
      </c>
      <c r="D186" s="5"/>
      <c r="E186" s="5">
        <v>18138.96</v>
      </c>
      <c r="F186" s="5">
        <f>-E186</f>
        <v>-18138.96</v>
      </c>
      <c r="G186" s="5">
        <f t="shared" si="24"/>
        <v>0</v>
      </c>
      <c r="H186" s="5"/>
      <c r="I186" s="5">
        <f t="shared" si="26"/>
        <v>0</v>
      </c>
    </row>
    <row r="187" spans="1:9" ht="9.75">
      <c r="A187" s="1" t="s">
        <v>177</v>
      </c>
      <c r="B187" s="45">
        <v>928</v>
      </c>
      <c r="C187" s="5">
        <v>1480962</v>
      </c>
      <c r="D187" s="5">
        <v>0</v>
      </c>
      <c r="E187" s="5">
        <v>1480962</v>
      </c>
      <c r="F187" s="5"/>
      <c r="G187" s="5">
        <f t="shared" si="24"/>
        <v>1480962</v>
      </c>
      <c r="H187" s="5"/>
      <c r="I187" s="5">
        <f t="shared" si="26"/>
        <v>1480962</v>
      </c>
    </row>
    <row r="188" spans="1:9" ht="9.75">
      <c r="A188" s="1" t="s">
        <v>178</v>
      </c>
      <c r="B188" s="45">
        <v>928</v>
      </c>
      <c r="C188" s="5">
        <v>753813.96</v>
      </c>
      <c r="D188" s="5"/>
      <c r="E188" s="5">
        <v>753813.96</v>
      </c>
      <c r="F188" s="5"/>
      <c r="G188" s="5">
        <f t="shared" si="24"/>
        <v>753813.96</v>
      </c>
      <c r="H188" s="5"/>
      <c r="I188" s="5">
        <f t="shared" si="26"/>
        <v>753813.96</v>
      </c>
    </row>
    <row r="189" spans="1:9" ht="9.75">
      <c r="A189" s="1" t="s">
        <v>179</v>
      </c>
      <c r="B189" s="45">
        <v>928</v>
      </c>
      <c r="C189" s="5">
        <v>702000</v>
      </c>
      <c r="D189" s="5"/>
      <c r="E189" s="5">
        <v>702000</v>
      </c>
      <c r="F189" s="5"/>
      <c r="G189" s="5">
        <f t="shared" si="24"/>
        <v>702000</v>
      </c>
      <c r="H189" s="5"/>
      <c r="I189" s="5">
        <f t="shared" si="26"/>
        <v>702000</v>
      </c>
    </row>
    <row r="190" spans="1:9" ht="9.75">
      <c r="A190" s="1" t="s">
        <v>180</v>
      </c>
      <c r="B190" s="45">
        <v>929</v>
      </c>
      <c r="C190" s="5">
        <v>23599006.9</v>
      </c>
      <c r="D190" s="5">
        <v>-23599006.9</v>
      </c>
      <c r="E190" s="5">
        <v>0</v>
      </c>
      <c r="F190" s="5"/>
      <c r="G190" s="5">
        <f t="shared" si="24"/>
        <v>0</v>
      </c>
      <c r="H190" s="5"/>
      <c r="I190" s="5">
        <f t="shared" si="26"/>
        <v>0</v>
      </c>
    </row>
    <row r="191" spans="1:9" ht="9.75">
      <c r="A191" s="1" t="s">
        <v>181</v>
      </c>
      <c r="B191" s="45">
        <v>930</v>
      </c>
      <c r="C191" s="5">
        <v>15661021.86</v>
      </c>
      <c r="D191" s="5">
        <v>-1732098</v>
      </c>
      <c r="E191" s="5">
        <v>13928923.86</v>
      </c>
      <c r="F191" s="5"/>
      <c r="G191" s="5">
        <f t="shared" si="24"/>
        <v>13928923.86</v>
      </c>
      <c r="H191" s="5"/>
      <c r="I191" s="5">
        <f t="shared" si="26"/>
        <v>13928923.86</v>
      </c>
    </row>
    <row r="192" spans="1:9" ht="9.75">
      <c r="A192" s="1" t="s">
        <v>182</v>
      </c>
      <c r="B192" s="45">
        <v>930</v>
      </c>
      <c r="C192" s="5">
        <v>99999.97</v>
      </c>
      <c r="D192" s="5">
        <v>-99999.97</v>
      </c>
      <c r="E192" s="5">
        <v>0</v>
      </c>
      <c r="F192" s="5"/>
      <c r="G192" s="5">
        <f t="shared" si="24"/>
        <v>0</v>
      </c>
      <c r="H192" s="5"/>
      <c r="I192" s="5">
        <f t="shared" si="26"/>
        <v>0</v>
      </c>
    </row>
    <row r="193" spans="1:9" ht="9.75">
      <c r="A193" s="1" t="s">
        <v>183</v>
      </c>
      <c r="B193" s="45">
        <v>930</v>
      </c>
      <c r="C193" s="5">
        <v>0</v>
      </c>
      <c r="D193" s="5">
        <v>0</v>
      </c>
      <c r="E193" s="5">
        <v>0</v>
      </c>
      <c r="F193" s="5"/>
      <c r="G193" s="5">
        <f t="shared" si="24"/>
        <v>0</v>
      </c>
      <c r="H193" s="5"/>
      <c r="I193" s="5">
        <f t="shared" si="26"/>
        <v>0</v>
      </c>
    </row>
    <row r="194" spans="1:9" ht="9.75">
      <c r="A194" s="1" t="s">
        <v>184</v>
      </c>
      <c r="B194" s="45">
        <v>931</v>
      </c>
      <c r="C194" s="5">
        <v>691775.9</v>
      </c>
      <c r="D194" s="5"/>
      <c r="E194" s="5">
        <v>691775.9</v>
      </c>
      <c r="F194" s="5"/>
      <c r="G194" s="5">
        <f t="shared" si="24"/>
        <v>691775.9</v>
      </c>
      <c r="H194" s="5"/>
      <c r="I194" s="5">
        <f t="shared" si="26"/>
        <v>691775.9</v>
      </c>
    </row>
    <row r="195" spans="1:9" ht="9.75">
      <c r="A195" s="1" t="s">
        <v>185</v>
      </c>
      <c r="B195" s="45">
        <v>931</v>
      </c>
      <c r="C195" s="5">
        <v>0</v>
      </c>
      <c r="D195" s="5">
        <v>0</v>
      </c>
      <c r="E195" s="5">
        <v>0</v>
      </c>
      <c r="F195" s="5"/>
      <c r="G195" s="5">
        <f t="shared" si="24"/>
        <v>0</v>
      </c>
      <c r="H195" s="5"/>
      <c r="I195" s="5">
        <f t="shared" si="26"/>
        <v>0</v>
      </c>
    </row>
    <row r="196" spans="1:9" ht="9.75">
      <c r="A196" s="1" t="s">
        <v>186</v>
      </c>
      <c r="B196" s="45">
        <v>935</v>
      </c>
      <c r="C196" s="5">
        <v>10720158</v>
      </c>
      <c r="D196" s="5">
        <v>-21600</v>
      </c>
      <c r="E196" s="5">
        <v>10698558</v>
      </c>
      <c r="F196" s="5"/>
      <c r="G196" s="5">
        <f t="shared" si="24"/>
        <v>10698558</v>
      </c>
      <c r="H196" s="5"/>
      <c r="I196" s="5">
        <f t="shared" si="26"/>
        <v>10698558</v>
      </c>
    </row>
    <row r="197" spans="1:9" ht="9.75">
      <c r="A197" s="1" t="s">
        <v>194</v>
      </c>
      <c r="B197" s="45"/>
      <c r="C197" s="5"/>
      <c r="D197" s="5"/>
      <c r="E197" s="5"/>
      <c r="F197" s="5"/>
      <c r="G197" s="5"/>
      <c r="H197" s="5">
        <v>-45470</v>
      </c>
      <c r="I197" s="5">
        <f t="shared" si="26"/>
        <v>-45470</v>
      </c>
    </row>
    <row r="198" spans="1:9" ht="9.75">
      <c r="A198" s="1" t="s">
        <v>195</v>
      </c>
      <c r="B198" s="45"/>
      <c r="C198" s="5"/>
      <c r="D198" s="5"/>
      <c r="E198" s="5"/>
      <c r="F198" s="5"/>
      <c r="G198" s="5"/>
      <c r="H198" s="5">
        <v>-1647593</v>
      </c>
      <c r="I198" s="5">
        <f t="shared" si="26"/>
        <v>-1647593</v>
      </c>
    </row>
    <row r="199" spans="1:9" ht="9.75">
      <c r="A199" s="1" t="s">
        <v>287</v>
      </c>
      <c r="B199" s="45"/>
      <c r="C199" s="5"/>
      <c r="D199" s="5"/>
      <c r="E199" s="5"/>
      <c r="F199" s="5"/>
      <c r="G199" s="5"/>
      <c r="H199" s="5">
        <f>-15520589*0.26604</f>
        <v>-4129097.49756</v>
      </c>
      <c r="I199" s="5">
        <f t="shared" si="26"/>
        <v>-4129097.49756</v>
      </c>
    </row>
    <row r="200" spans="1:9" ht="9.75">
      <c r="A200" s="1" t="s">
        <v>198</v>
      </c>
      <c r="B200" s="45"/>
      <c r="C200" s="5"/>
      <c r="D200" s="5"/>
      <c r="E200" s="5"/>
      <c r="F200" s="5"/>
      <c r="G200" s="5"/>
      <c r="H200" s="5">
        <v>-49510136</v>
      </c>
      <c r="I200" s="5">
        <f>G200+H200</f>
        <v>-49510136</v>
      </c>
    </row>
    <row r="201" spans="1:9" ht="9.75">
      <c r="A201" s="1" t="s">
        <v>199</v>
      </c>
      <c r="B201" s="45"/>
      <c r="C201" s="5"/>
      <c r="D201" s="5"/>
      <c r="E201" s="5"/>
      <c r="F201" s="5"/>
      <c r="G201" s="5"/>
      <c r="H201" s="5">
        <v>-4593140</v>
      </c>
      <c r="I201" s="5">
        <f t="shared" si="26"/>
        <v>-4593140</v>
      </c>
    </row>
    <row r="202" spans="1:9" ht="10.5" thickBot="1">
      <c r="A202" s="1" t="s">
        <v>200</v>
      </c>
      <c r="B202" s="45"/>
      <c r="C202" s="5"/>
      <c r="D202" s="5"/>
      <c r="E202" s="5"/>
      <c r="F202" s="5"/>
      <c r="G202" s="5"/>
      <c r="H202" s="5">
        <v>801750</v>
      </c>
      <c r="I202" s="5">
        <f t="shared" si="26"/>
        <v>801750</v>
      </c>
    </row>
    <row r="203" spans="1:9" ht="9.75">
      <c r="A203" s="1" t="s">
        <v>187</v>
      </c>
      <c r="B203" s="45"/>
      <c r="C203" s="6">
        <f>SUM(C163:C196)</f>
        <v>395178565.4699999</v>
      </c>
      <c r="D203" s="6">
        <f>SUM(D163:D196)</f>
        <v>-28668664.11</v>
      </c>
      <c r="E203" s="6">
        <f>SUM(E163:E196)</f>
        <v>366509900.93999994</v>
      </c>
      <c r="F203" s="6">
        <f>SUM(F163:F196)</f>
        <v>-444526.04</v>
      </c>
      <c r="G203" s="6">
        <f>SUM(G163:G202)</f>
        <v>366065374.9</v>
      </c>
      <c r="H203" s="6">
        <f>SUM(H163:H202)</f>
        <v>-59123686.49756</v>
      </c>
      <c r="I203" s="6">
        <f>SUM(I163:I202)</f>
        <v>306941688.40243995</v>
      </c>
    </row>
    <row r="204" spans="1:2" ht="9.75">
      <c r="A204" s="2"/>
      <c r="B204" s="46"/>
    </row>
    <row r="205" spans="1:9" ht="9.75">
      <c r="A205" s="17" t="s">
        <v>188</v>
      </c>
      <c r="B205" s="44"/>
      <c r="C205" s="4">
        <f aca="true" t="shared" si="27" ref="C205:I205">C24+C52+C71+C85+C108+C133+C143+C154+C160+C203</f>
        <v>7707541901.299999</v>
      </c>
      <c r="D205" s="4">
        <f t="shared" si="27"/>
        <v>-6040592053.24</v>
      </c>
      <c r="E205" s="4">
        <f t="shared" si="27"/>
        <v>1666949847.6399999</v>
      </c>
      <c r="F205" s="4">
        <f t="shared" si="27"/>
        <v>-102385900.08</v>
      </c>
      <c r="G205" s="20">
        <f t="shared" si="27"/>
        <v>1564563947.56</v>
      </c>
      <c r="H205" s="4">
        <f t="shared" si="27"/>
        <v>-72866572</v>
      </c>
      <c r="I205" s="20">
        <f t="shared" si="27"/>
        <v>1491697375.56</v>
      </c>
    </row>
    <row r="207" spans="3:9" ht="9.75">
      <c r="C207" s="3"/>
      <c r="D207" s="3"/>
      <c r="E207" s="3"/>
      <c r="F207" s="3"/>
      <c r="G207" s="3"/>
      <c r="H207" s="3"/>
      <c r="I207" s="3"/>
    </row>
    <row r="208" spans="1:9" ht="9.75">
      <c r="A208" s="3" t="s">
        <v>189</v>
      </c>
      <c r="C208" s="3"/>
      <c r="D208" s="3"/>
      <c r="E208" s="3"/>
      <c r="F208" s="3"/>
      <c r="G208" s="3"/>
      <c r="H208" s="3"/>
      <c r="I208" s="3"/>
    </row>
    <row r="209" spans="1:9" ht="9.75">
      <c r="A209" s="3" t="s">
        <v>190</v>
      </c>
      <c r="C209" s="3"/>
      <c r="D209" s="3"/>
      <c r="E209" s="3"/>
      <c r="F209" s="3"/>
      <c r="G209" s="3"/>
      <c r="H209" s="3"/>
      <c r="I209" s="3"/>
    </row>
    <row r="210" spans="1:9" ht="9.75">
      <c r="A210" s="3" t="s">
        <v>191</v>
      </c>
      <c r="C210" s="3"/>
      <c r="D210" s="3"/>
      <c r="E210" s="3"/>
      <c r="F210" s="3"/>
      <c r="G210" s="3"/>
      <c r="H210" s="3"/>
      <c r="I210" s="3"/>
    </row>
    <row r="211" spans="1:9" ht="9.75">
      <c r="A211" s="3" t="s">
        <v>288</v>
      </c>
      <c r="C211" s="3"/>
      <c r="D211" s="3"/>
      <c r="E211" s="3"/>
      <c r="F211" s="3"/>
      <c r="G211" s="3"/>
      <c r="H211" s="3"/>
      <c r="I211" s="3"/>
    </row>
    <row r="212" spans="1:9" ht="9.75">
      <c r="A212" s="3" t="s">
        <v>289</v>
      </c>
      <c r="C212" s="3"/>
      <c r="D212" s="3"/>
      <c r="E212" s="3"/>
      <c r="F212" s="3"/>
      <c r="G212" s="3"/>
      <c r="H212" s="3"/>
      <c r="I212" s="3"/>
    </row>
    <row r="213" spans="3:9" ht="9.75">
      <c r="C213" s="3"/>
      <c r="D213" s="3"/>
      <c r="E213" s="3"/>
      <c r="F213" s="3"/>
      <c r="G213" s="3"/>
      <c r="H213" s="3"/>
      <c r="I213" s="3"/>
    </row>
    <row r="214" spans="3:9" ht="9.75">
      <c r="C214" s="3"/>
      <c r="D214" s="3"/>
      <c r="E214" s="3"/>
      <c r="F214" s="3"/>
      <c r="G214" s="3"/>
      <c r="H214" s="3"/>
      <c r="I214" s="3"/>
    </row>
    <row r="215" spans="3:9" ht="9.75">
      <c r="C215" s="3"/>
      <c r="D215" s="3"/>
      <c r="E215" s="3"/>
      <c r="F215" s="3"/>
      <c r="G215" s="3"/>
      <c r="H215" s="3"/>
      <c r="I215" s="3"/>
    </row>
    <row r="216" spans="3:9" ht="9.75">
      <c r="C216" s="3"/>
      <c r="D216" s="3"/>
      <c r="E216" s="3"/>
      <c r="F216" s="3"/>
      <c r="G216" s="3"/>
      <c r="H216" s="3"/>
      <c r="I216" s="3"/>
    </row>
    <row r="217" spans="3:9" ht="9.75">
      <c r="C217" s="3"/>
      <c r="D217" s="3"/>
      <c r="E217" s="3"/>
      <c r="F217" s="3"/>
      <c r="G217" s="3"/>
      <c r="H217" s="3"/>
      <c r="I217" s="3"/>
    </row>
    <row r="218" spans="3:9" ht="9.75">
      <c r="C218" s="3"/>
      <c r="D218" s="3"/>
      <c r="E218" s="3"/>
      <c r="F218" s="3"/>
      <c r="G218" s="3"/>
      <c r="H218" s="3"/>
      <c r="I218" s="3"/>
    </row>
    <row r="219" spans="3:9" ht="9.75">
      <c r="C219" s="3"/>
      <c r="D219" s="3"/>
      <c r="E219" s="3"/>
      <c r="F219" s="3"/>
      <c r="G219" s="3"/>
      <c r="H219" s="3"/>
      <c r="I219" s="3"/>
    </row>
    <row r="220" spans="3:9" ht="9.75">
      <c r="C220" s="3"/>
      <c r="D220" s="3"/>
      <c r="E220" s="3"/>
      <c r="F220" s="3"/>
      <c r="G220" s="3"/>
      <c r="H220" s="3"/>
      <c r="I220" s="3"/>
    </row>
    <row r="221" spans="3:9" ht="9.75">
      <c r="C221" s="3"/>
      <c r="D221" s="3"/>
      <c r="E221" s="3"/>
      <c r="F221" s="3"/>
      <c r="G221" s="3"/>
      <c r="H221" s="3"/>
      <c r="I221" s="3"/>
    </row>
    <row r="222" spans="3:9" ht="9.75">
      <c r="C222" s="3"/>
      <c r="D222" s="3"/>
      <c r="E222" s="3"/>
      <c r="F222" s="3"/>
      <c r="G222" s="3"/>
      <c r="H222" s="3"/>
      <c r="I222" s="3"/>
    </row>
    <row r="223" spans="3:9" ht="9.75">
      <c r="C223" s="3"/>
      <c r="D223" s="3"/>
      <c r="E223" s="3"/>
      <c r="F223" s="3"/>
      <c r="G223" s="3"/>
      <c r="H223" s="3"/>
      <c r="I223" s="3"/>
    </row>
    <row r="224" spans="3:9" ht="9.75">
      <c r="C224" s="3"/>
      <c r="D224" s="3"/>
      <c r="E224" s="3"/>
      <c r="F224" s="3"/>
      <c r="G224" s="3"/>
      <c r="H224" s="3"/>
      <c r="I224" s="3"/>
    </row>
    <row r="225" spans="3:9" ht="9.75">
      <c r="C225" s="3"/>
      <c r="D225" s="3"/>
      <c r="E225" s="3"/>
      <c r="F225" s="3"/>
      <c r="G225" s="3"/>
      <c r="H225" s="3"/>
      <c r="I225" s="3"/>
    </row>
    <row r="226" spans="3:9" ht="9.75">
      <c r="C226" s="3"/>
      <c r="D226" s="3"/>
      <c r="E226" s="3"/>
      <c r="F226" s="3"/>
      <c r="G226" s="3"/>
      <c r="H226" s="3"/>
      <c r="I226" s="3"/>
    </row>
    <row r="227" spans="3:9" ht="9.75">
      <c r="C227" s="3"/>
      <c r="D227" s="3"/>
      <c r="E227" s="3"/>
      <c r="F227" s="3"/>
      <c r="G227" s="3"/>
      <c r="H227" s="3"/>
      <c r="I227" s="3"/>
    </row>
    <row r="228" spans="3:9" ht="9.75">
      <c r="C228" s="3"/>
      <c r="D228" s="3"/>
      <c r="E228" s="3"/>
      <c r="F228" s="3"/>
      <c r="G228" s="3"/>
      <c r="H228" s="3"/>
      <c r="I228" s="3"/>
    </row>
    <row r="229" spans="3:9" ht="9.75">
      <c r="C229" s="3"/>
      <c r="D229" s="3"/>
      <c r="E229" s="3"/>
      <c r="F229" s="3"/>
      <c r="G229" s="3"/>
      <c r="H229" s="3"/>
      <c r="I229" s="3"/>
    </row>
    <row r="230" spans="3:9" ht="9.75">
      <c r="C230" s="3"/>
      <c r="D230" s="3"/>
      <c r="E230" s="3"/>
      <c r="F230" s="3"/>
      <c r="G230" s="3"/>
      <c r="H230" s="3"/>
      <c r="I230" s="3"/>
    </row>
    <row r="231" spans="3:9" ht="9.75">
      <c r="C231" s="3"/>
      <c r="D231" s="3"/>
      <c r="E231" s="3"/>
      <c r="F231" s="3"/>
      <c r="G231" s="3"/>
      <c r="H231" s="3"/>
      <c r="I231" s="3"/>
    </row>
    <row r="232" spans="3:9" ht="9.75">
      <c r="C232" s="3"/>
      <c r="D232" s="3"/>
      <c r="E232" s="3"/>
      <c r="F232" s="3"/>
      <c r="G232" s="3"/>
      <c r="H232" s="3"/>
      <c r="I232" s="3"/>
    </row>
    <row r="233" spans="3:9" ht="9.75">
      <c r="C233" s="3"/>
      <c r="D233" s="3"/>
      <c r="E233" s="3"/>
      <c r="F233" s="3"/>
      <c r="G233" s="3"/>
      <c r="H233" s="3"/>
      <c r="I233" s="3"/>
    </row>
    <row r="234" spans="3:9" ht="9.75">
      <c r="C234" s="3"/>
      <c r="D234" s="3"/>
      <c r="E234" s="3"/>
      <c r="F234" s="3"/>
      <c r="G234" s="3"/>
      <c r="H234" s="3"/>
      <c r="I234" s="3"/>
    </row>
    <row r="235" spans="3:9" ht="9.75">
      <c r="C235" s="3"/>
      <c r="D235" s="3"/>
      <c r="E235" s="3"/>
      <c r="F235" s="3"/>
      <c r="G235" s="3"/>
      <c r="H235" s="3"/>
      <c r="I235" s="3"/>
    </row>
    <row r="236" spans="3:9" ht="9.75">
      <c r="C236" s="3"/>
      <c r="D236" s="3"/>
      <c r="E236" s="3"/>
      <c r="F236" s="3"/>
      <c r="G236" s="3"/>
      <c r="H236" s="3"/>
      <c r="I236" s="3"/>
    </row>
    <row r="237" spans="3:9" ht="9.75">
      <c r="C237" s="3"/>
      <c r="D237" s="3"/>
      <c r="E237" s="3"/>
      <c r="F237" s="3"/>
      <c r="G237" s="3"/>
      <c r="H237" s="3"/>
      <c r="I237" s="3"/>
    </row>
    <row r="238" spans="3:9" ht="9.75">
      <c r="C238" s="3"/>
      <c r="D238" s="3"/>
      <c r="E238" s="3"/>
      <c r="F238" s="3"/>
      <c r="G238" s="3"/>
      <c r="H238" s="3"/>
      <c r="I238" s="3"/>
    </row>
    <row r="239" spans="3:9" ht="9.75">
      <c r="C239" s="3"/>
      <c r="D239" s="3"/>
      <c r="E239" s="3"/>
      <c r="F239" s="3"/>
      <c r="G239" s="3"/>
      <c r="H239" s="3"/>
      <c r="I239" s="3"/>
    </row>
    <row r="240" spans="3:9" ht="9.75">
      <c r="C240" s="3"/>
      <c r="D240" s="3"/>
      <c r="E240" s="3"/>
      <c r="F240" s="3"/>
      <c r="G240" s="3"/>
      <c r="H240" s="3"/>
      <c r="I240" s="3"/>
    </row>
    <row r="241" spans="3:9" ht="9.75">
      <c r="C241" s="3"/>
      <c r="D241" s="3"/>
      <c r="E241" s="3"/>
      <c r="F241" s="3"/>
      <c r="G241" s="3"/>
      <c r="H241" s="3"/>
      <c r="I241" s="3"/>
    </row>
    <row r="242" spans="3:9" ht="9.75">
      <c r="C242" s="3"/>
      <c r="D242" s="3"/>
      <c r="E242" s="3"/>
      <c r="F242" s="3"/>
      <c r="G242" s="3"/>
      <c r="H242" s="3"/>
      <c r="I242" s="3"/>
    </row>
    <row r="243" spans="3:9" ht="9.75">
      <c r="C243" s="3"/>
      <c r="D243" s="3"/>
      <c r="E243" s="3"/>
      <c r="F243" s="3"/>
      <c r="G243" s="3"/>
      <c r="H243" s="3"/>
      <c r="I243" s="3"/>
    </row>
    <row r="244" spans="3:9" ht="9.75">
      <c r="C244" s="3"/>
      <c r="D244" s="3"/>
      <c r="E244" s="3"/>
      <c r="F244" s="3"/>
      <c r="G244" s="3"/>
      <c r="H244" s="3"/>
      <c r="I244" s="3"/>
    </row>
    <row r="245" spans="3:9" ht="9.75">
      <c r="C245" s="3"/>
      <c r="D245" s="3"/>
      <c r="E245" s="3"/>
      <c r="F245" s="3"/>
      <c r="G245" s="3"/>
      <c r="H245" s="3"/>
      <c r="I245" s="3"/>
    </row>
    <row r="246" spans="3:9" ht="9.75">
      <c r="C246" s="3"/>
      <c r="D246" s="3"/>
      <c r="E246" s="3"/>
      <c r="F246" s="3"/>
      <c r="G246" s="3"/>
      <c r="H246" s="3"/>
      <c r="I246" s="3"/>
    </row>
    <row r="247" spans="3:9" ht="9.75">
      <c r="C247" s="3"/>
      <c r="D247" s="3"/>
      <c r="E247" s="3"/>
      <c r="F247" s="3"/>
      <c r="G247" s="3"/>
      <c r="H247" s="3"/>
      <c r="I247" s="3"/>
    </row>
    <row r="248" spans="3:9" ht="9.75">
      <c r="C248" s="3"/>
      <c r="D248" s="3"/>
      <c r="E248" s="3"/>
      <c r="F248" s="3"/>
      <c r="G248" s="3"/>
      <c r="H248" s="3"/>
      <c r="I248" s="3"/>
    </row>
    <row r="249" spans="3:9" ht="9.75">
      <c r="C249" s="3"/>
      <c r="D249" s="3"/>
      <c r="E249" s="3"/>
      <c r="F249" s="3"/>
      <c r="G249" s="3"/>
      <c r="H249" s="3"/>
      <c r="I249" s="3"/>
    </row>
    <row r="250" spans="3:9" ht="9.75">
      <c r="C250" s="3"/>
      <c r="D250" s="3"/>
      <c r="E250" s="3"/>
      <c r="F250" s="3"/>
      <c r="G250" s="3"/>
      <c r="H250" s="3"/>
      <c r="I250" s="3"/>
    </row>
    <row r="251" spans="3:9" ht="9.75">
      <c r="C251" s="3"/>
      <c r="D251" s="3"/>
      <c r="E251" s="3"/>
      <c r="F251" s="3"/>
      <c r="G251" s="3"/>
      <c r="H251" s="3"/>
      <c r="I251" s="3"/>
    </row>
    <row r="252" spans="3:9" ht="9.75">
      <c r="C252" s="3"/>
      <c r="D252" s="3"/>
      <c r="E252" s="3"/>
      <c r="F252" s="3"/>
      <c r="G252" s="3"/>
      <c r="H252" s="3"/>
      <c r="I252" s="3"/>
    </row>
    <row r="253" spans="3:9" ht="9.75">
      <c r="C253" s="3"/>
      <c r="D253" s="3"/>
      <c r="E253" s="3"/>
      <c r="F253" s="3"/>
      <c r="G253" s="3"/>
      <c r="H253" s="3"/>
      <c r="I253" s="3"/>
    </row>
    <row r="254" spans="3:9" ht="9.75">
      <c r="C254" s="3"/>
      <c r="D254" s="3"/>
      <c r="E254" s="3"/>
      <c r="F254" s="3"/>
      <c r="G254" s="3"/>
      <c r="H254" s="3"/>
      <c r="I254" s="3"/>
    </row>
    <row r="255" spans="3:9" ht="9.75">
      <c r="C255" s="3"/>
      <c r="D255" s="3"/>
      <c r="E255" s="3"/>
      <c r="F255" s="3"/>
      <c r="G255" s="3"/>
      <c r="H255" s="3"/>
      <c r="I255" s="3"/>
    </row>
    <row r="256" spans="3:9" ht="9.75">
      <c r="C256" s="3"/>
      <c r="D256" s="3"/>
      <c r="E256" s="3"/>
      <c r="F256" s="3"/>
      <c r="G256" s="3"/>
      <c r="H256" s="3"/>
      <c r="I256" s="3"/>
    </row>
    <row r="257" spans="3:9" ht="9.75">
      <c r="C257" s="3"/>
      <c r="D257" s="3"/>
      <c r="E257" s="3"/>
      <c r="F257" s="3"/>
      <c r="G257" s="3"/>
      <c r="H257" s="3"/>
      <c r="I257" s="3"/>
    </row>
    <row r="258" spans="3:9" ht="9.75">
      <c r="C258" s="3"/>
      <c r="D258" s="3"/>
      <c r="E258" s="3"/>
      <c r="F258" s="3"/>
      <c r="G258" s="3"/>
      <c r="H258" s="3"/>
      <c r="I258" s="3"/>
    </row>
    <row r="259" spans="3:9" ht="9.75">
      <c r="C259" s="3"/>
      <c r="D259" s="3"/>
      <c r="E259" s="3"/>
      <c r="F259" s="3"/>
      <c r="G259" s="3"/>
      <c r="H259" s="3"/>
      <c r="I259" s="3"/>
    </row>
    <row r="260" spans="3:9" ht="9.75">
      <c r="C260" s="3"/>
      <c r="D260" s="3"/>
      <c r="E260" s="3"/>
      <c r="F260" s="3"/>
      <c r="G260" s="3"/>
      <c r="H260" s="3"/>
      <c r="I260" s="3"/>
    </row>
    <row r="261" spans="3:9" ht="9.75">
      <c r="C261" s="3"/>
      <c r="D261" s="3"/>
      <c r="E261" s="3"/>
      <c r="F261" s="3"/>
      <c r="G261" s="3"/>
      <c r="H261" s="3"/>
      <c r="I261" s="3"/>
    </row>
    <row r="262" spans="3:9" ht="9.75">
      <c r="C262" s="3"/>
      <c r="D262" s="3"/>
      <c r="E262" s="3"/>
      <c r="F262" s="3"/>
      <c r="G262" s="3"/>
      <c r="H262" s="3"/>
      <c r="I262" s="3"/>
    </row>
    <row r="263" spans="3:9" ht="9.75">
      <c r="C263" s="3"/>
      <c r="D263" s="3"/>
      <c r="E263" s="3"/>
      <c r="F263" s="3"/>
      <c r="G263" s="3"/>
      <c r="H263" s="3"/>
      <c r="I263" s="3"/>
    </row>
    <row r="264" spans="3:9" ht="9.75">
      <c r="C264" s="3"/>
      <c r="D264" s="3"/>
      <c r="E264" s="3"/>
      <c r="F264" s="3"/>
      <c r="G264" s="3"/>
      <c r="H264" s="3"/>
      <c r="I264" s="3"/>
    </row>
    <row r="265" spans="3:9" ht="9.75">
      <c r="C265" s="3"/>
      <c r="D265" s="3"/>
      <c r="E265" s="3"/>
      <c r="F265" s="3"/>
      <c r="G265" s="3"/>
      <c r="H265" s="3"/>
      <c r="I265" s="3"/>
    </row>
    <row r="266" spans="3:9" ht="9.75">
      <c r="C266" s="3"/>
      <c r="D266" s="3"/>
      <c r="E266" s="3"/>
      <c r="F266" s="3"/>
      <c r="G266" s="3"/>
      <c r="H266" s="3"/>
      <c r="I266" s="3"/>
    </row>
    <row r="267" spans="3:9" ht="9.75">
      <c r="C267" s="3"/>
      <c r="D267" s="3"/>
      <c r="E267" s="3"/>
      <c r="F267" s="3"/>
      <c r="G267" s="3"/>
      <c r="H267" s="3"/>
      <c r="I267" s="3"/>
    </row>
    <row r="268" spans="3:9" ht="9.75">
      <c r="C268" s="3"/>
      <c r="D268" s="3"/>
      <c r="E268" s="3"/>
      <c r="F268" s="3"/>
      <c r="G268" s="3"/>
      <c r="H268" s="3"/>
      <c r="I268" s="3"/>
    </row>
    <row r="269" spans="3:9" ht="9.75">
      <c r="C269" s="3"/>
      <c r="D269" s="3"/>
      <c r="E269" s="3"/>
      <c r="F269" s="3"/>
      <c r="G269" s="3"/>
      <c r="H269" s="3"/>
      <c r="I269" s="3"/>
    </row>
    <row r="270" spans="3:9" ht="9.75">
      <c r="C270" s="3"/>
      <c r="D270" s="3"/>
      <c r="E270" s="3"/>
      <c r="F270" s="3"/>
      <c r="G270" s="3"/>
      <c r="H270" s="3"/>
      <c r="I270" s="3"/>
    </row>
    <row r="271" spans="3:9" ht="9.75">
      <c r="C271" s="3"/>
      <c r="D271" s="3"/>
      <c r="E271" s="3"/>
      <c r="F271" s="3"/>
      <c r="G271" s="3"/>
      <c r="H271" s="3"/>
      <c r="I271" s="3"/>
    </row>
    <row r="272" spans="3:9" ht="9.75">
      <c r="C272" s="3"/>
      <c r="D272" s="3"/>
      <c r="E272" s="3"/>
      <c r="F272" s="3"/>
      <c r="G272" s="3"/>
      <c r="H272" s="3"/>
      <c r="I272" s="3"/>
    </row>
    <row r="273" spans="3:9" ht="9.75">
      <c r="C273" s="3"/>
      <c r="D273" s="3"/>
      <c r="E273" s="3"/>
      <c r="F273" s="3"/>
      <c r="G273" s="3"/>
      <c r="H273" s="3"/>
      <c r="I273" s="3"/>
    </row>
    <row r="274" spans="3:9" ht="9.75">
      <c r="C274" s="3"/>
      <c r="D274" s="3"/>
      <c r="E274" s="3"/>
      <c r="F274" s="3"/>
      <c r="G274" s="3"/>
      <c r="H274" s="3"/>
      <c r="I274" s="3"/>
    </row>
    <row r="275" spans="3:9" ht="9.75">
      <c r="C275" s="3"/>
      <c r="D275" s="3"/>
      <c r="E275" s="3"/>
      <c r="F275" s="3"/>
      <c r="G275" s="3"/>
      <c r="H275" s="3"/>
      <c r="I275" s="3"/>
    </row>
    <row r="276" spans="3:9" ht="9.75">
      <c r="C276" s="3"/>
      <c r="D276" s="3"/>
      <c r="E276" s="3"/>
      <c r="F276" s="3"/>
      <c r="G276" s="3"/>
      <c r="H276" s="3"/>
      <c r="I276" s="3"/>
    </row>
    <row r="277" spans="3:9" ht="9.75">
      <c r="C277" s="3"/>
      <c r="D277" s="3"/>
      <c r="E277" s="3"/>
      <c r="F277" s="3"/>
      <c r="G277" s="3"/>
      <c r="H277" s="3"/>
      <c r="I277" s="3"/>
    </row>
    <row r="278" spans="3:9" ht="9.75">
      <c r="C278" s="3"/>
      <c r="D278" s="3"/>
      <c r="E278" s="3"/>
      <c r="F278" s="3"/>
      <c r="G278" s="3"/>
      <c r="H278" s="3"/>
      <c r="I278" s="3"/>
    </row>
    <row r="279" spans="3:9" ht="9.75">
      <c r="C279" s="3"/>
      <c r="D279" s="3"/>
      <c r="E279" s="3"/>
      <c r="F279" s="3"/>
      <c r="G279" s="3"/>
      <c r="H279" s="3"/>
      <c r="I279" s="3"/>
    </row>
    <row r="280" spans="3:9" ht="9.75">
      <c r="C280" s="3"/>
      <c r="D280" s="3"/>
      <c r="E280" s="3"/>
      <c r="F280" s="3"/>
      <c r="G280" s="3"/>
      <c r="H280" s="3"/>
      <c r="I280" s="3"/>
    </row>
    <row r="281" spans="3:9" ht="9.75">
      <c r="C281" s="3"/>
      <c r="D281" s="3"/>
      <c r="E281" s="3"/>
      <c r="F281" s="3"/>
      <c r="G281" s="3"/>
      <c r="H281" s="3"/>
      <c r="I281" s="3"/>
    </row>
    <row r="282" spans="3:9" ht="9.75">
      <c r="C282" s="3"/>
      <c r="D282" s="3"/>
      <c r="E282" s="3"/>
      <c r="F282" s="3"/>
      <c r="G282" s="3"/>
      <c r="H282" s="3"/>
      <c r="I282" s="3"/>
    </row>
    <row r="283" spans="3:9" ht="9.75">
      <c r="C283" s="3"/>
      <c r="D283" s="3"/>
      <c r="E283" s="3"/>
      <c r="F283" s="3"/>
      <c r="G283" s="3"/>
      <c r="H283" s="3"/>
      <c r="I283" s="3"/>
    </row>
    <row r="284" spans="3:9" ht="9.75">
      <c r="C284" s="3"/>
      <c r="D284" s="3"/>
      <c r="E284" s="3"/>
      <c r="F284" s="3"/>
      <c r="G284" s="3"/>
      <c r="H284" s="3"/>
      <c r="I284" s="3"/>
    </row>
    <row r="285" spans="3:9" ht="9.75">
      <c r="C285" s="3"/>
      <c r="D285" s="3"/>
      <c r="E285" s="3"/>
      <c r="F285" s="3"/>
      <c r="G285" s="3"/>
      <c r="H285" s="3"/>
      <c r="I285" s="3"/>
    </row>
    <row r="286" spans="3:9" ht="9.75">
      <c r="C286" s="3"/>
      <c r="D286" s="3"/>
      <c r="E286" s="3"/>
      <c r="F286" s="3"/>
      <c r="G286" s="3"/>
      <c r="H286" s="3"/>
      <c r="I286" s="3"/>
    </row>
    <row r="287" spans="3:9" ht="9.75">
      <c r="C287" s="3"/>
      <c r="D287" s="3"/>
      <c r="E287" s="3"/>
      <c r="F287" s="3"/>
      <c r="G287" s="3"/>
      <c r="H287" s="3"/>
      <c r="I287" s="3"/>
    </row>
    <row r="288" spans="3:9" ht="9.75">
      <c r="C288" s="3"/>
      <c r="D288" s="3"/>
      <c r="E288" s="3"/>
      <c r="F288" s="3"/>
      <c r="G288" s="3"/>
      <c r="H288" s="3"/>
      <c r="I288" s="3"/>
    </row>
    <row r="289" spans="3:9" ht="9.75">
      <c r="C289" s="3"/>
      <c r="D289" s="3"/>
      <c r="E289" s="3"/>
      <c r="F289" s="3"/>
      <c r="G289" s="3"/>
      <c r="H289" s="3"/>
      <c r="I289" s="3"/>
    </row>
    <row r="290" spans="3:9" ht="9.75">
      <c r="C290" s="3"/>
      <c r="D290" s="3"/>
      <c r="E290" s="3"/>
      <c r="F290" s="3"/>
      <c r="G290" s="3"/>
      <c r="H290" s="3"/>
      <c r="I290" s="3"/>
    </row>
    <row r="291" spans="3:9" ht="9.75">
      <c r="C291" s="3"/>
      <c r="D291" s="3"/>
      <c r="E291" s="3"/>
      <c r="F291" s="3"/>
      <c r="G291" s="3"/>
      <c r="H291" s="3"/>
      <c r="I291" s="3"/>
    </row>
    <row r="292" spans="3:9" ht="9.75">
      <c r="C292" s="3"/>
      <c r="D292" s="3"/>
      <c r="E292" s="3"/>
      <c r="F292" s="3"/>
      <c r="G292" s="3"/>
      <c r="H292" s="3"/>
      <c r="I292" s="3"/>
    </row>
    <row r="293" spans="3:9" ht="9.75">
      <c r="C293" s="3"/>
      <c r="D293" s="3"/>
      <c r="E293" s="3"/>
      <c r="F293" s="3"/>
      <c r="G293" s="3"/>
      <c r="H293" s="3"/>
      <c r="I293" s="3"/>
    </row>
    <row r="294" spans="3:9" ht="9.75">
      <c r="C294" s="3"/>
      <c r="D294" s="3"/>
      <c r="E294" s="3"/>
      <c r="F294" s="3"/>
      <c r="G294" s="3"/>
      <c r="H294" s="3"/>
      <c r="I294" s="3"/>
    </row>
    <row r="295" spans="3:9" ht="9.75">
      <c r="C295" s="3"/>
      <c r="D295" s="3"/>
      <c r="E295" s="3"/>
      <c r="F295" s="3"/>
      <c r="G295" s="3"/>
      <c r="H295" s="3"/>
      <c r="I295" s="3"/>
    </row>
    <row r="296" spans="3:9" ht="9.75">
      <c r="C296" s="3"/>
      <c r="D296" s="3"/>
      <c r="E296" s="3"/>
      <c r="F296" s="3"/>
      <c r="G296" s="3"/>
      <c r="H296" s="3"/>
      <c r="I296" s="3"/>
    </row>
    <row r="297" spans="3:9" ht="9.75">
      <c r="C297" s="3"/>
      <c r="D297" s="3"/>
      <c r="E297" s="3"/>
      <c r="F297" s="3"/>
      <c r="G297" s="3"/>
      <c r="H297" s="3"/>
      <c r="I297" s="3"/>
    </row>
    <row r="298" spans="3:9" ht="9.75">
      <c r="C298" s="3"/>
      <c r="D298" s="3"/>
      <c r="E298" s="3"/>
      <c r="F298" s="3"/>
      <c r="G298" s="3"/>
      <c r="H298" s="3"/>
      <c r="I298" s="3"/>
    </row>
    <row r="299" spans="3:9" ht="9.75">
      <c r="C299" s="3"/>
      <c r="D299" s="3"/>
      <c r="E299" s="3"/>
      <c r="F299" s="3"/>
      <c r="G299" s="3"/>
      <c r="H299" s="3"/>
      <c r="I299" s="3"/>
    </row>
    <row r="300" spans="3:9" ht="9.75">
      <c r="C300" s="3"/>
      <c r="D300" s="3"/>
      <c r="E300" s="3"/>
      <c r="F300" s="3"/>
      <c r="G300" s="3"/>
      <c r="H300" s="3"/>
      <c r="I300" s="3"/>
    </row>
    <row r="301" spans="3:9" ht="9.75">
      <c r="C301" s="3"/>
      <c r="D301" s="3"/>
      <c r="E301" s="3"/>
      <c r="F301" s="3"/>
      <c r="G301" s="3"/>
      <c r="H301" s="3"/>
      <c r="I301" s="3"/>
    </row>
    <row r="302" spans="3:9" ht="9.75">
      <c r="C302" s="3"/>
      <c r="D302" s="3"/>
      <c r="E302" s="3"/>
      <c r="F302" s="3"/>
      <c r="G302" s="3"/>
      <c r="H302" s="3"/>
      <c r="I302" s="3"/>
    </row>
    <row r="303" spans="3:9" ht="9.75">
      <c r="C303" s="3"/>
      <c r="D303" s="3"/>
      <c r="E303" s="3"/>
      <c r="F303" s="3"/>
      <c r="G303" s="3"/>
      <c r="H303" s="3"/>
      <c r="I303" s="3"/>
    </row>
    <row r="304" spans="3:9" ht="9.75">
      <c r="C304" s="3"/>
      <c r="D304" s="3"/>
      <c r="E304" s="3"/>
      <c r="F304" s="3"/>
      <c r="G304" s="3"/>
      <c r="H304" s="3"/>
      <c r="I304" s="3"/>
    </row>
    <row r="305" spans="3:9" ht="9.75">
      <c r="C305" s="3"/>
      <c r="D305" s="3"/>
      <c r="E305" s="3"/>
      <c r="F305" s="3"/>
      <c r="G305" s="3"/>
      <c r="H305" s="3"/>
      <c r="I305" s="3"/>
    </row>
    <row r="306" spans="3:9" ht="9.75">
      <c r="C306" s="3"/>
      <c r="D306" s="3"/>
      <c r="E306" s="3"/>
      <c r="F306" s="3"/>
      <c r="G306" s="3"/>
      <c r="H306" s="3"/>
      <c r="I306" s="3"/>
    </row>
    <row r="307" spans="3:9" ht="9.75">
      <c r="C307" s="3"/>
      <c r="D307" s="3"/>
      <c r="E307" s="3"/>
      <c r="F307" s="3"/>
      <c r="G307" s="3"/>
      <c r="H307" s="3"/>
      <c r="I307" s="3"/>
    </row>
    <row r="308" spans="3:9" ht="9.75">
      <c r="C308" s="3"/>
      <c r="D308" s="3"/>
      <c r="E308" s="3"/>
      <c r="F308" s="3"/>
      <c r="G308" s="3"/>
      <c r="H308" s="3"/>
      <c r="I308" s="3"/>
    </row>
    <row r="309" spans="3:9" ht="9.75">
      <c r="C309" s="3"/>
      <c r="D309" s="3"/>
      <c r="E309" s="3"/>
      <c r="F309" s="3"/>
      <c r="G309" s="3"/>
      <c r="H309" s="3"/>
      <c r="I309" s="3"/>
    </row>
    <row r="310" spans="3:9" ht="9.75">
      <c r="C310" s="3"/>
      <c r="D310" s="3"/>
      <c r="E310" s="3"/>
      <c r="F310" s="3"/>
      <c r="G310" s="3"/>
      <c r="H310" s="3"/>
      <c r="I310" s="3"/>
    </row>
    <row r="311" spans="3:9" ht="9.75">
      <c r="C311" s="3"/>
      <c r="D311" s="3"/>
      <c r="E311" s="3"/>
      <c r="F311" s="3"/>
      <c r="G311" s="3"/>
      <c r="H311" s="3"/>
      <c r="I311" s="3"/>
    </row>
    <row r="312" spans="3:9" ht="9.75">
      <c r="C312" s="3"/>
      <c r="D312" s="3"/>
      <c r="E312" s="3"/>
      <c r="F312" s="3"/>
      <c r="G312" s="3"/>
      <c r="H312" s="3"/>
      <c r="I312" s="3"/>
    </row>
    <row r="313" spans="3:9" ht="9.75">
      <c r="C313" s="3"/>
      <c r="D313" s="3"/>
      <c r="E313" s="3"/>
      <c r="F313" s="3"/>
      <c r="G313" s="3"/>
      <c r="H313" s="3"/>
      <c r="I313" s="3"/>
    </row>
    <row r="314" spans="3:9" ht="9.75">
      <c r="C314" s="3"/>
      <c r="D314" s="3"/>
      <c r="E314" s="3"/>
      <c r="F314" s="3"/>
      <c r="G314" s="3"/>
      <c r="H314" s="3"/>
      <c r="I314" s="3"/>
    </row>
    <row r="315" spans="3:9" ht="9.75">
      <c r="C315" s="3"/>
      <c r="D315" s="3"/>
      <c r="E315" s="3"/>
      <c r="F315" s="3"/>
      <c r="G315" s="3"/>
      <c r="H315" s="3"/>
      <c r="I315" s="3"/>
    </row>
    <row r="316" spans="3:9" ht="9.75">
      <c r="C316" s="3"/>
      <c r="D316" s="3"/>
      <c r="E316" s="3"/>
      <c r="F316" s="3"/>
      <c r="G316" s="3"/>
      <c r="H316" s="3"/>
      <c r="I316" s="3"/>
    </row>
    <row r="317" spans="3:9" ht="9.75">
      <c r="C317" s="3"/>
      <c r="D317" s="3"/>
      <c r="E317" s="3"/>
      <c r="F317" s="3"/>
      <c r="G317" s="3"/>
      <c r="H317" s="3"/>
      <c r="I317" s="3"/>
    </row>
    <row r="318" spans="3:9" ht="9.75">
      <c r="C318" s="3"/>
      <c r="D318" s="3"/>
      <c r="E318" s="3"/>
      <c r="F318" s="3"/>
      <c r="G318" s="3"/>
      <c r="H318" s="3"/>
      <c r="I318" s="3"/>
    </row>
    <row r="319" spans="3:9" ht="9.75">
      <c r="C319" s="3"/>
      <c r="D319" s="3"/>
      <c r="E319" s="3"/>
      <c r="F319" s="3"/>
      <c r="G319" s="3"/>
      <c r="H319" s="3"/>
      <c r="I319" s="3"/>
    </row>
    <row r="320" spans="3:9" ht="9.75">
      <c r="C320" s="3"/>
      <c r="D320" s="3"/>
      <c r="E320" s="3"/>
      <c r="F320" s="3"/>
      <c r="G320" s="3"/>
      <c r="H320" s="3"/>
      <c r="I320" s="3"/>
    </row>
    <row r="321" spans="3:9" ht="9.75">
      <c r="C321" s="3"/>
      <c r="D321" s="3"/>
      <c r="E321" s="3"/>
      <c r="F321" s="3"/>
      <c r="G321" s="3"/>
      <c r="H321" s="3"/>
      <c r="I321" s="3"/>
    </row>
    <row r="322" spans="3:9" ht="9.75">
      <c r="C322" s="3"/>
      <c r="D322" s="3"/>
      <c r="E322" s="3"/>
      <c r="F322" s="3"/>
      <c r="G322" s="3"/>
      <c r="H322" s="3"/>
      <c r="I322" s="3"/>
    </row>
    <row r="323" spans="3:9" ht="9.75">
      <c r="C323" s="3"/>
      <c r="D323" s="3"/>
      <c r="E323" s="3"/>
      <c r="F323" s="3"/>
      <c r="G323" s="3"/>
      <c r="H323" s="3"/>
      <c r="I323" s="3"/>
    </row>
    <row r="324" spans="3:9" ht="9.75">
      <c r="C324" s="3"/>
      <c r="D324" s="3"/>
      <c r="E324" s="3"/>
      <c r="F324" s="3"/>
      <c r="G324" s="3"/>
      <c r="H324" s="3"/>
      <c r="I324" s="3"/>
    </row>
    <row r="325" spans="3:9" ht="9.75">
      <c r="C325" s="3"/>
      <c r="D325" s="3"/>
      <c r="E325" s="3"/>
      <c r="F325" s="3"/>
      <c r="G325" s="3"/>
      <c r="H325" s="3"/>
      <c r="I325" s="3"/>
    </row>
    <row r="326" spans="3:9" ht="9.75">
      <c r="C326" s="3"/>
      <c r="D326" s="3"/>
      <c r="E326" s="3"/>
      <c r="F326" s="3"/>
      <c r="G326" s="3"/>
      <c r="H326" s="3"/>
      <c r="I326" s="3"/>
    </row>
    <row r="327" spans="3:9" ht="9.75">
      <c r="C327" s="3"/>
      <c r="D327" s="3"/>
      <c r="E327" s="3"/>
      <c r="F327" s="3"/>
      <c r="G327" s="3"/>
      <c r="H327" s="3"/>
      <c r="I327" s="3"/>
    </row>
    <row r="328" spans="3:9" ht="9.75">
      <c r="C328" s="3"/>
      <c r="D328" s="3"/>
      <c r="E328" s="3"/>
      <c r="F328" s="3"/>
      <c r="G328" s="3"/>
      <c r="H328" s="3"/>
      <c r="I328" s="3"/>
    </row>
    <row r="329" spans="3:9" ht="9.75">
      <c r="C329" s="3"/>
      <c r="D329" s="3"/>
      <c r="E329" s="3"/>
      <c r="F329" s="3"/>
      <c r="G329" s="3"/>
      <c r="H329" s="3"/>
      <c r="I329" s="3"/>
    </row>
    <row r="330" spans="3:9" ht="9.75">
      <c r="C330" s="3"/>
      <c r="D330" s="3"/>
      <c r="E330" s="3"/>
      <c r="F330" s="3"/>
      <c r="G330" s="3"/>
      <c r="H330" s="3"/>
      <c r="I330" s="3"/>
    </row>
    <row r="331" spans="3:9" ht="9.75">
      <c r="C331" s="3"/>
      <c r="D331" s="3"/>
      <c r="E331" s="3"/>
      <c r="F331" s="3"/>
      <c r="G331" s="3"/>
      <c r="H331" s="3"/>
      <c r="I331" s="3"/>
    </row>
    <row r="332" spans="3:9" ht="9.75">
      <c r="C332" s="3"/>
      <c r="D332" s="3"/>
      <c r="E332" s="3"/>
      <c r="F332" s="3"/>
      <c r="G332" s="3"/>
      <c r="H332" s="3"/>
      <c r="I332" s="3"/>
    </row>
    <row r="333" spans="3:9" ht="9.75">
      <c r="C333" s="3"/>
      <c r="D333" s="3"/>
      <c r="E333" s="3"/>
      <c r="F333" s="3"/>
      <c r="G333" s="3"/>
      <c r="H333" s="3"/>
      <c r="I333" s="3"/>
    </row>
    <row r="334" spans="3:9" ht="9.75">
      <c r="C334" s="3"/>
      <c r="D334" s="3"/>
      <c r="E334" s="3"/>
      <c r="F334" s="3"/>
      <c r="G334" s="3"/>
      <c r="H334" s="3"/>
      <c r="I334" s="3"/>
    </row>
    <row r="335" spans="3:9" ht="9.75">
      <c r="C335" s="3"/>
      <c r="D335" s="3"/>
      <c r="E335" s="3"/>
      <c r="F335" s="3"/>
      <c r="G335" s="3"/>
      <c r="H335" s="3"/>
      <c r="I335" s="3"/>
    </row>
    <row r="336" spans="3:9" ht="9.75">
      <c r="C336" s="3"/>
      <c r="D336" s="3"/>
      <c r="E336" s="3"/>
      <c r="F336" s="3"/>
      <c r="G336" s="3"/>
      <c r="H336" s="3"/>
      <c r="I336" s="3"/>
    </row>
    <row r="337" spans="3:9" ht="9.75">
      <c r="C337" s="3"/>
      <c r="D337" s="3"/>
      <c r="E337" s="3"/>
      <c r="F337" s="3"/>
      <c r="G337" s="3"/>
      <c r="H337" s="3"/>
      <c r="I337" s="3"/>
    </row>
    <row r="338" spans="3:9" ht="9.75">
      <c r="C338" s="3"/>
      <c r="D338" s="3"/>
      <c r="E338" s="3"/>
      <c r="F338" s="3"/>
      <c r="G338" s="3"/>
      <c r="H338" s="3"/>
      <c r="I338" s="3"/>
    </row>
    <row r="339" spans="3:9" ht="9.75">
      <c r="C339" s="3"/>
      <c r="D339" s="3"/>
      <c r="E339" s="3"/>
      <c r="F339" s="3"/>
      <c r="G339" s="3"/>
      <c r="H339" s="3"/>
      <c r="I339" s="3"/>
    </row>
    <row r="340" spans="3:9" ht="9.75">
      <c r="C340" s="3"/>
      <c r="D340" s="3"/>
      <c r="E340" s="3"/>
      <c r="F340" s="3"/>
      <c r="G340" s="3"/>
      <c r="H340" s="3"/>
      <c r="I340" s="3"/>
    </row>
    <row r="341" spans="3:9" ht="9.75">
      <c r="C341" s="3"/>
      <c r="D341" s="3"/>
      <c r="E341" s="3"/>
      <c r="F341" s="3"/>
      <c r="G341" s="3"/>
      <c r="H341" s="3"/>
      <c r="I341" s="3"/>
    </row>
    <row r="342" spans="3:9" ht="9.75">
      <c r="C342" s="3"/>
      <c r="D342" s="3"/>
      <c r="E342" s="3"/>
      <c r="F342" s="3"/>
      <c r="G342" s="3"/>
      <c r="H342" s="3"/>
      <c r="I342" s="3"/>
    </row>
    <row r="343" spans="3:9" ht="9.75">
      <c r="C343" s="3"/>
      <c r="D343" s="3"/>
      <c r="E343" s="3"/>
      <c r="F343" s="3"/>
      <c r="G343" s="3"/>
      <c r="H343" s="3"/>
      <c r="I343" s="3"/>
    </row>
    <row r="344" spans="3:9" ht="9.75">
      <c r="C344" s="3"/>
      <c r="D344" s="3"/>
      <c r="E344" s="3"/>
      <c r="F344" s="3"/>
      <c r="G344" s="3"/>
      <c r="H344" s="3"/>
      <c r="I344" s="3"/>
    </row>
    <row r="345" spans="3:9" ht="9.75">
      <c r="C345" s="3"/>
      <c r="D345" s="3"/>
      <c r="E345" s="3"/>
      <c r="F345" s="3"/>
      <c r="G345" s="3"/>
      <c r="H345" s="3"/>
      <c r="I345" s="3"/>
    </row>
    <row r="346" spans="3:9" ht="9.75">
      <c r="C346" s="3"/>
      <c r="D346" s="3"/>
      <c r="E346" s="3"/>
      <c r="F346" s="3"/>
      <c r="G346" s="3"/>
      <c r="H346" s="3"/>
      <c r="I346" s="3"/>
    </row>
    <row r="347" spans="3:9" ht="9.75">
      <c r="C347" s="3"/>
      <c r="D347" s="3"/>
      <c r="E347" s="3"/>
      <c r="F347" s="3"/>
      <c r="G347" s="3"/>
      <c r="H347" s="3"/>
      <c r="I347" s="3"/>
    </row>
    <row r="348" spans="3:9" ht="9.75">
      <c r="C348" s="3"/>
      <c r="D348" s="3"/>
      <c r="E348" s="3"/>
      <c r="F348" s="3"/>
      <c r="G348" s="3"/>
      <c r="H348" s="3"/>
      <c r="I348" s="3"/>
    </row>
    <row r="349" spans="3:9" ht="9.75">
      <c r="C349" s="3"/>
      <c r="D349" s="3"/>
      <c r="E349" s="3"/>
      <c r="F349" s="3"/>
      <c r="G349" s="3"/>
      <c r="H349" s="3"/>
      <c r="I349" s="3"/>
    </row>
    <row r="350" spans="3:9" ht="9.75">
      <c r="C350" s="3"/>
      <c r="D350" s="3"/>
      <c r="E350" s="3"/>
      <c r="F350" s="3"/>
      <c r="G350" s="3"/>
      <c r="H350" s="3"/>
      <c r="I350" s="3"/>
    </row>
    <row r="351" spans="3:9" ht="9.75">
      <c r="C351" s="3"/>
      <c r="D351" s="3"/>
      <c r="E351" s="3"/>
      <c r="F351" s="3"/>
      <c r="G351" s="3"/>
      <c r="H351" s="3"/>
      <c r="I351" s="3"/>
    </row>
    <row r="352" spans="3:9" ht="9.75">
      <c r="C352" s="3"/>
      <c r="D352" s="3"/>
      <c r="E352" s="3"/>
      <c r="F352" s="3"/>
      <c r="G352" s="3"/>
      <c r="H352" s="3"/>
      <c r="I352" s="3"/>
    </row>
    <row r="353" spans="3:9" ht="9.75">
      <c r="C353" s="3"/>
      <c r="D353" s="3"/>
      <c r="E353" s="3"/>
      <c r="F353" s="3"/>
      <c r="G353" s="3"/>
      <c r="H353" s="3"/>
      <c r="I353" s="3"/>
    </row>
    <row r="354" spans="3:9" ht="9.75">
      <c r="C354" s="3"/>
      <c r="D354" s="3"/>
      <c r="E354" s="3"/>
      <c r="F354" s="3"/>
      <c r="G354" s="3"/>
      <c r="H354" s="3"/>
      <c r="I354" s="3"/>
    </row>
    <row r="355" spans="3:9" ht="9.75">
      <c r="C355" s="3"/>
      <c r="D355" s="3"/>
      <c r="E355" s="3"/>
      <c r="F355" s="3"/>
      <c r="G355" s="3"/>
      <c r="H355" s="3"/>
      <c r="I355" s="3"/>
    </row>
    <row r="356" spans="3:9" ht="9.75">
      <c r="C356" s="3"/>
      <c r="D356" s="3"/>
      <c r="E356" s="3"/>
      <c r="F356" s="3"/>
      <c r="G356" s="3"/>
      <c r="H356" s="3"/>
      <c r="I356" s="3"/>
    </row>
    <row r="357" spans="3:9" ht="9.75">
      <c r="C357" s="3"/>
      <c r="D357" s="3"/>
      <c r="E357" s="3"/>
      <c r="F357" s="3"/>
      <c r="G357" s="3"/>
      <c r="H357" s="3"/>
      <c r="I357" s="3"/>
    </row>
    <row r="358" spans="3:9" ht="9.75">
      <c r="C358" s="3"/>
      <c r="D358" s="3"/>
      <c r="E358" s="3"/>
      <c r="F358" s="3"/>
      <c r="G358" s="3"/>
      <c r="H358" s="3"/>
      <c r="I358" s="3"/>
    </row>
    <row r="359" spans="3:9" ht="9.75">
      <c r="C359" s="3"/>
      <c r="D359" s="3"/>
      <c r="E359" s="3"/>
      <c r="F359" s="3"/>
      <c r="G359" s="3"/>
      <c r="H359" s="3"/>
      <c r="I359" s="3"/>
    </row>
    <row r="360" spans="3:9" ht="9.75">
      <c r="C360" s="3"/>
      <c r="D360" s="3"/>
      <c r="E360" s="3"/>
      <c r="F360" s="3"/>
      <c r="G360" s="3"/>
      <c r="H360" s="3"/>
      <c r="I360" s="3"/>
    </row>
    <row r="361" spans="3:9" ht="9.75">
      <c r="C361" s="3"/>
      <c r="D361" s="3"/>
      <c r="E361" s="3"/>
      <c r="F361" s="3"/>
      <c r="G361" s="3"/>
      <c r="H361" s="3"/>
      <c r="I361" s="3"/>
    </row>
    <row r="362" spans="3:9" ht="9.75">
      <c r="C362" s="3"/>
      <c r="D362" s="3"/>
      <c r="E362" s="3"/>
      <c r="F362" s="3"/>
      <c r="G362" s="3"/>
      <c r="H362" s="3"/>
      <c r="I362" s="3"/>
    </row>
    <row r="363" spans="3:9" ht="9.75">
      <c r="C363" s="3"/>
      <c r="D363" s="3"/>
      <c r="E363" s="3"/>
      <c r="F363" s="3"/>
      <c r="G363" s="3"/>
      <c r="H363" s="3"/>
      <c r="I363" s="3"/>
    </row>
    <row r="364" spans="3:9" ht="9.75">
      <c r="C364" s="3"/>
      <c r="D364" s="3"/>
      <c r="E364" s="3"/>
      <c r="F364" s="3"/>
      <c r="G364" s="3"/>
      <c r="H364" s="3"/>
      <c r="I364" s="3"/>
    </row>
    <row r="365" spans="3:9" ht="9.75">
      <c r="C365" s="3"/>
      <c r="D365" s="3"/>
      <c r="E365" s="3"/>
      <c r="F365" s="3"/>
      <c r="G365" s="3"/>
      <c r="H365" s="3"/>
      <c r="I365" s="3"/>
    </row>
    <row r="366" spans="3:9" ht="9.75">
      <c r="C366" s="3"/>
      <c r="D366" s="3"/>
      <c r="E366" s="3"/>
      <c r="F366" s="3"/>
      <c r="G366" s="3"/>
      <c r="H366" s="3"/>
      <c r="I366" s="3"/>
    </row>
    <row r="367" spans="3:9" ht="9.75">
      <c r="C367" s="3"/>
      <c r="D367" s="3"/>
      <c r="E367" s="3"/>
      <c r="F367" s="3"/>
      <c r="G367" s="3"/>
      <c r="H367" s="3"/>
      <c r="I367" s="3"/>
    </row>
    <row r="368" spans="3:9" ht="9.75">
      <c r="C368" s="3"/>
      <c r="D368" s="3"/>
      <c r="E368" s="3"/>
      <c r="F368" s="3"/>
      <c r="G368" s="3"/>
      <c r="H368" s="3"/>
      <c r="I368" s="3"/>
    </row>
    <row r="369" spans="3:9" ht="9.75">
      <c r="C369" s="3"/>
      <c r="D369" s="3"/>
      <c r="E369" s="3"/>
      <c r="F369" s="3"/>
      <c r="G369" s="3"/>
      <c r="H369" s="3"/>
      <c r="I369" s="3"/>
    </row>
    <row r="370" spans="3:9" ht="9.75">
      <c r="C370" s="3"/>
      <c r="D370" s="3"/>
      <c r="E370" s="3"/>
      <c r="F370" s="3"/>
      <c r="G370" s="3"/>
      <c r="H370" s="3"/>
      <c r="I370" s="3"/>
    </row>
    <row r="371" spans="3:9" ht="9.75">
      <c r="C371" s="3"/>
      <c r="D371" s="3"/>
      <c r="E371" s="3"/>
      <c r="F371" s="3"/>
      <c r="G371" s="3"/>
      <c r="H371" s="3"/>
      <c r="I371" s="3"/>
    </row>
    <row r="372" spans="3:9" ht="9.75">
      <c r="C372" s="3"/>
      <c r="D372" s="3"/>
      <c r="E372" s="3"/>
      <c r="F372" s="3"/>
      <c r="G372" s="3"/>
      <c r="H372" s="3"/>
      <c r="I372" s="3"/>
    </row>
    <row r="373" spans="3:9" ht="9.75">
      <c r="C373" s="3"/>
      <c r="D373" s="3"/>
      <c r="E373" s="3"/>
      <c r="F373" s="3"/>
      <c r="G373" s="3"/>
      <c r="H373" s="3"/>
      <c r="I373" s="3"/>
    </row>
    <row r="374" spans="3:9" ht="9.75">
      <c r="C374" s="3"/>
      <c r="D374" s="3"/>
      <c r="E374" s="3"/>
      <c r="F374" s="3"/>
      <c r="G374" s="3"/>
      <c r="H374" s="3"/>
      <c r="I374" s="3"/>
    </row>
    <row r="375" spans="3:9" ht="9.75">
      <c r="C375" s="3"/>
      <c r="D375" s="3"/>
      <c r="E375" s="3"/>
      <c r="F375" s="3"/>
      <c r="G375" s="3"/>
      <c r="H375" s="3"/>
      <c r="I375" s="3"/>
    </row>
    <row r="376" spans="3:9" ht="9.75">
      <c r="C376" s="3"/>
      <c r="D376" s="3"/>
      <c r="E376" s="3"/>
      <c r="F376" s="3"/>
      <c r="G376" s="3"/>
      <c r="H376" s="3"/>
      <c r="I376" s="3"/>
    </row>
    <row r="377" spans="3:9" ht="9.75">
      <c r="C377" s="3"/>
      <c r="D377" s="3"/>
      <c r="E377" s="3"/>
      <c r="F377" s="3"/>
      <c r="G377" s="3"/>
      <c r="H377" s="3"/>
      <c r="I377" s="3"/>
    </row>
    <row r="378" spans="3:9" ht="9.75">
      <c r="C378" s="3"/>
      <c r="D378" s="3"/>
      <c r="E378" s="3"/>
      <c r="F378" s="3"/>
      <c r="G378" s="3"/>
      <c r="H378" s="3"/>
      <c r="I378" s="3"/>
    </row>
    <row r="379" spans="3:9" ht="9.75">
      <c r="C379" s="3"/>
      <c r="D379" s="3"/>
      <c r="E379" s="3"/>
      <c r="F379" s="3"/>
      <c r="G379" s="3"/>
      <c r="H379" s="3"/>
      <c r="I379" s="3"/>
    </row>
    <row r="380" spans="3:9" ht="9.75">
      <c r="C380" s="3"/>
      <c r="D380" s="3"/>
      <c r="E380" s="3"/>
      <c r="F380" s="3"/>
      <c r="G380" s="3"/>
      <c r="H380" s="3"/>
      <c r="I380" s="3"/>
    </row>
    <row r="381" spans="3:9" ht="9.75">
      <c r="C381" s="3"/>
      <c r="D381" s="3"/>
      <c r="E381" s="3"/>
      <c r="F381" s="3"/>
      <c r="G381" s="3"/>
      <c r="H381" s="3"/>
      <c r="I381" s="3"/>
    </row>
    <row r="382" spans="3:9" ht="9.75">
      <c r="C382" s="3"/>
      <c r="D382" s="3"/>
      <c r="E382" s="3"/>
      <c r="F382" s="3"/>
      <c r="G382" s="3"/>
      <c r="H382" s="3"/>
      <c r="I382" s="3"/>
    </row>
    <row r="383" spans="3:9" ht="9.75">
      <c r="C383" s="3"/>
      <c r="D383" s="3"/>
      <c r="E383" s="3"/>
      <c r="F383" s="3"/>
      <c r="G383" s="3"/>
      <c r="H383" s="3"/>
      <c r="I383" s="3"/>
    </row>
    <row r="384" spans="3:9" ht="9.75">
      <c r="C384" s="3"/>
      <c r="D384" s="3"/>
      <c r="E384" s="3"/>
      <c r="F384" s="3"/>
      <c r="G384" s="3"/>
      <c r="H384" s="3"/>
      <c r="I384" s="3"/>
    </row>
    <row r="385" spans="3:9" ht="9.75">
      <c r="C385" s="3"/>
      <c r="D385" s="3"/>
      <c r="E385" s="3"/>
      <c r="F385" s="3"/>
      <c r="G385" s="3"/>
      <c r="H385" s="3"/>
      <c r="I385" s="3"/>
    </row>
    <row r="386" spans="3:9" ht="9.75">
      <c r="C386" s="3"/>
      <c r="D386" s="3"/>
      <c r="E386" s="3"/>
      <c r="F386" s="3"/>
      <c r="G386" s="3"/>
      <c r="H386" s="3"/>
      <c r="I386" s="3"/>
    </row>
    <row r="387" spans="3:9" ht="9.75">
      <c r="C387" s="3"/>
      <c r="D387" s="3"/>
      <c r="E387" s="3"/>
      <c r="F387" s="3"/>
      <c r="G387" s="3"/>
      <c r="H387" s="3"/>
      <c r="I387" s="3"/>
    </row>
    <row r="388" spans="3:9" ht="9.75">
      <c r="C388" s="3"/>
      <c r="D388" s="3"/>
      <c r="E388" s="3"/>
      <c r="F388" s="3"/>
      <c r="G388" s="3"/>
      <c r="H388" s="3"/>
      <c r="I388" s="3"/>
    </row>
    <row r="389" spans="3:9" ht="9.75">
      <c r="C389" s="3"/>
      <c r="D389" s="3"/>
      <c r="E389" s="3"/>
      <c r="F389" s="3"/>
      <c r="G389" s="3"/>
      <c r="H389" s="3"/>
      <c r="I389" s="3"/>
    </row>
    <row r="390" spans="3:9" ht="9.75">
      <c r="C390" s="3"/>
      <c r="D390" s="3"/>
      <c r="E390" s="3"/>
      <c r="F390" s="3"/>
      <c r="G390" s="3"/>
      <c r="H390" s="3"/>
      <c r="I390" s="3"/>
    </row>
    <row r="391" spans="3:9" ht="9.75">
      <c r="C391" s="3"/>
      <c r="D391" s="3"/>
      <c r="E391" s="3"/>
      <c r="F391" s="3"/>
      <c r="G391" s="3"/>
      <c r="H391" s="3"/>
      <c r="I391" s="3"/>
    </row>
    <row r="392" spans="3:9" ht="9.75">
      <c r="C392" s="3"/>
      <c r="D392" s="3"/>
      <c r="E392" s="3"/>
      <c r="F392" s="3"/>
      <c r="G392" s="3"/>
      <c r="H392" s="3"/>
      <c r="I392" s="3"/>
    </row>
    <row r="393" spans="3:9" ht="9.75">
      <c r="C393" s="3"/>
      <c r="D393" s="3"/>
      <c r="E393" s="3"/>
      <c r="F393" s="3"/>
      <c r="G393" s="3"/>
      <c r="H393" s="3"/>
      <c r="I393" s="3"/>
    </row>
    <row r="394" spans="3:9" ht="9.75">
      <c r="C394" s="3"/>
      <c r="D394" s="3"/>
      <c r="E394" s="3"/>
      <c r="F394" s="3"/>
      <c r="G394" s="3"/>
      <c r="H394" s="3"/>
      <c r="I394" s="3"/>
    </row>
    <row r="395" spans="3:9" ht="9.75">
      <c r="C395" s="3"/>
      <c r="D395" s="3"/>
      <c r="E395" s="3"/>
      <c r="F395" s="3"/>
      <c r="G395" s="3"/>
      <c r="H395" s="3"/>
      <c r="I395" s="3"/>
    </row>
    <row r="396" spans="3:9" ht="9.75">
      <c r="C396" s="3"/>
      <c r="D396" s="3"/>
      <c r="E396" s="3"/>
      <c r="F396" s="3"/>
      <c r="G396" s="3"/>
      <c r="H396" s="3"/>
      <c r="I396" s="3"/>
    </row>
    <row r="397" spans="3:9" ht="9.75">
      <c r="C397" s="3"/>
      <c r="D397" s="3"/>
      <c r="E397" s="3"/>
      <c r="F397" s="3"/>
      <c r="G397" s="3"/>
      <c r="H397" s="3"/>
      <c r="I397" s="3"/>
    </row>
    <row r="398" spans="3:9" ht="9.75">
      <c r="C398" s="3"/>
      <c r="D398" s="3"/>
      <c r="E398" s="3"/>
      <c r="F398" s="3"/>
      <c r="G398" s="3"/>
      <c r="H398" s="3"/>
      <c r="I398" s="3"/>
    </row>
    <row r="399" spans="3:9" ht="9.75">
      <c r="C399" s="3"/>
      <c r="D399" s="3"/>
      <c r="E399" s="3"/>
      <c r="F399" s="3"/>
      <c r="G399" s="3"/>
      <c r="H399" s="3"/>
      <c r="I399" s="3"/>
    </row>
    <row r="400" spans="3:9" ht="9.75">
      <c r="C400" s="3"/>
      <c r="D400" s="3"/>
      <c r="E400" s="3"/>
      <c r="F400" s="3"/>
      <c r="G400" s="3"/>
      <c r="H400" s="3"/>
      <c r="I400" s="3"/>
    </row>
    <row r="401" spans="3:9" ht="9.75">
      <c r="C401" s="3"/>
      <c r="D401" s="3"/>
      <c r="E401" s="3"/>
      <c r="F401" s="3"/>
      <c r="G401" s="3"/>
      <c r="H401" s="3"/>
      <c r="I401" s="3"/>
    </row>
    <row r="402" spans="3:9" ht="9.75">
      <c r="C402" s="3"/>
      <c r="D402" s="3"/>
      <c r="E402" s="3"/>
      <c r="F402" s="3"/>
      <c r="G402" s="3"/>
      <c r="H402" s="3"/>
      <c r="I402" s="3"/>
    </row>
    <row r="403" spans="3:9" ht="9.75">
      <c r="C403" s="3"/>
      <c r="D403" s="3"/>
      <c r="E403" s="3"/>
      <c r="F403" s="3"/>
      <c r="G403" s="3"/>
      <c r="H403" s="3"/>
      <c r="I403" s="3"/>
    </row>
  </sheetData>
  <sheetProtection/>
  <printOptions/>
  <pageMargins left="0.25" right="0" top="0.75" bottom="0.75" header="0.5" footer="0.5"/>
  <pageSetup horizontalDpi="600" verticalDpi="600" orientation="landscape" scale="90" r:id="rId1"/>
  <ignoredErrors>
    <ignoredError sqref="B5:B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I72"/>
  <sheetViews>
    <sheetView zoomScalePageLayoutView="0" workbookViewId="0" topLeftCell="A22">
      <selection activeCell="B14" sqref="B14"/>
    </sheetView>
  </sheetViews>
  <sheetFormatPr defaultColWidth="9.140625" defaultRowHeight="12.75"/>
  <cols>
    <col min="1" max="1" width="3.7109375" style="11" customWidth="1"/>
    <col min="2" max="2" width="25.7109375" style="3" customWidth="1"/>
    <col min="3" max="3" width="4.7109375" style="11" customWidth="1"/>
    <col min="4" max="5" width="10.7109375" style="4" customWidth="1"/>
    <col min="6" max="6" width="8.7109375" style="14" customWidth="1"/>
    <col min="7" max="7" width="10.7109375" style="4" customWidth="1"/>
    <col min="8" max="8" width="8.7109375" style="11" customWidth="1"/>
    <col min="9" max="9" width="30.7109375" style="3" customWidth="1"/>
    <col min="10" max="16384" width="9.140625" style="3" customWidth="1"/>
  </cols>
  <sheetData>
    <row r="2" spans="1:9" ht="20.25">
      <c r="A2" s="9" t="s">
        <v>202</v>
      </c>
      <c r="B2" s="9" t="s">
        <v>201</v>
      </c>
      <c r="C2" s="47" t="s">
        <v>272</v>
      </c>
      <c r="D2" s="10" t="s">
        <v>203</v>
      </c>
      <c r="E2" s="10" t="s">
        <v>204</v>
      </c>
      <c r="F2" s="13" t="s">
        <v>205</v>
      </c>
      <c r="G2" s="10" t="s">
        <v>206</v>
      </c>
      <c r="H2" s="9" t="s">
        <v>218</v>
      </c>
      <c r="I2" s="8" t="s">
        <v>207</v>
      </c>
    </row>
    <row r="4" spans="1:9" ht="9.75">
      <c r="A4" s="9">
        <v>15</v>
      </c>
      <c r="B4" s="8" t="s">
        <v>208</v>
      </c>
      <c r="C4" s="9"/>
      <c r="D4" s="4" t="s">
        <v>210</v>
      </c>
      <c r="I4" s="3" t="s">
        <v>249</v>
      </c>
    </row>
    <row r="5" spans="2:8" ht="9.75">
      <c r="B5" s="3" t="s">
        <v>215</v>
      </c>
      <c r="D5" s="4">
        <f>-10462000-D6</f>
        <v>-7148077</v>
      </c>
      <c r="E5" s="4">
        <v>0</v>
      </c>
      <c r="G5" s="4">
        <f>E5</f>
        <v>0</v>
      </c>
      <c r="H5" s="11" t="s">
        <v>219</v>
      </c>
    </row>
    <row r="6" spans="2:8" ht="10.5" thickBot="1">
      <c r="B6" s="3" t="s">
        <v>216</v>
      </c>
      <c r="D6" s="4">
        <v>-3313923</v>
      </c>
      <c r="E6" s="4">
        <v>0</v>
      </c>
      <c r="G6" s="4">
        <f>E6</f>
        <v>0</v>
      </c>
      <c r="H6" s="11" t="s">
        <v>219</v>
      </c>
    </row>
    <row r="7" spans="2:7" ht="9.75">
      <c r="B7" s="3" t="s">
        <v>209</v>
      </c>
      <c r="D7" s="12">
        <f>SUM(D5:D6)</f>
        <v>-10462000</v>
      </c>
      <c r="E7" s="12">
        <f>SUM(E5:E6)</f>
        <v>0</v>
      </c>
      <c r="G7" s="12">
        <f>SUM(G5:G6)</f>
        <v>0</v>
      </c>
    </row>
    <row r="9" spans="1:9" ht="9.75">
      <c r="A9" s="9">
        <v>58</v>
      </c>
      <c r="B9" s="8" t="s">
        <v>211</v>
      </c>
      <c r="C9" s="9"/>
      <c r="I9" s="3" t="s">
        <v>249</v>
      </c>
    </row>
    <row r="10" spans="2:9" ht="9.75">
      <c r="B10" s="3" t="s">
        <v>213</v>
      </c>
      <c r="C10" s="11" t="s">
        <v>210</v>
      </c>
      <c r="D10" s="4">
        <v>-6137000</v>
      </c>
      <c r="E10" s="4">
        <f>D10/F10</f>
        <v>-6137000</v>
      </c>
      <c r="F10" s="14">
        <v>1</v>
      </c>
      <c r="G10" s="4">
        <v>0</v>
      </c>
      <c r="H10" s="11" t="s">
        <v>220</v>
      </c>
      <c r="I10" s="3" t="s">
        <v>250</v>
      </c>
    </row>
    <row r="11" ht="9.75">
      <c r="I11" s="3" t="s">
        <v>255</v>
      </c>
    </row>
    <row r="12" ht="9.75">
      <c r="I12" s="3" t="s">
        <v>251</v>
      </c>
    </row>
    <row r="13" spans="1:9" ht="9.75">
      <c r="A13" s="9">
        <v>93</v>
      </c>
      <c r="B13" s="8" t="s">
        <v>212</v>
      </c>
      <c r="C13" s="9"/>
      <c r="I13" s="3" t="s">
        <v>210</v>
      </c>
    </row>
    <row r="14" spans="2:8" ht="9.75">
      <c r="B14" s="3" t="s">
        <v>216</v>
      </c>
      <c r="C14" s="11">
        <v>930</v>
      </c>
      <c r="D14" s="4">
        <v>-45470</v>
      </c>
      <c r="E14" s="4">
        <f>D14/F14</f>
        <v>-45470</v>
      </c>
      <c r="F14" s="14">
        <v>1</v>
      </c>
      <c r="G14" s="4">
        <f>E14</f>
        <v>-45470</v>
      </c>
      <c r="H14" s="11" t="s">
        <v>220</v>
      </c>
    </row>
    <row r="16" spans="1:9" ht="9.75">
      <c r="A16" s="9">
        <v>94</v>
      </c>
      <c r="B16" s="8" t="s">
        <v>214</v>
      </c>
      <c r="C16" s="9"/>
      <c r="I16" s="3" t="s">
        <v>273</v>
      </c>
    </row>
    <row r="17" spans="2:9" ht="9.75">
      <c r="B17" s="3" t="s">
        <v>216</v>
      </c>
      <c r="D17" s="4">
        <v>-1633916</v>
      </c>
      <c r="E17" s="4">
        <f>D17/F17</f>
        <v>-1647592.6667264968</v>
      </c>
      <c r="F17" s="14">
        <v>0.991699</v>
      </c>
      <c r="G17" s="4">
        <f>E17</f>
        <v>-1647592.6667264968</v>
      </c>
      <c r="H17" s="11" t="s">
        <v>219</v>
      </c>
      <c r="I17" s="3" t="s">
        <v>274</v>
      </c>
    </row>
    <row r="18" ht="9.75">
      <c r="I18" s="3" t="s">
        <v>275</v>
      </c>
    </row>
    <row r="19" spans="1:9" ht="9.75">
      <c r="A19" s="9">
        <v>96</v>
      </c>
      <c r="B19" s="8" t="s">
        <v>221</v>
      </c>
      <c r="C19" s="31">
        <v>904</v>
      </c>
      <c r="I19" s="3" t="s">
        <v>210</v>
      </c>
    </row>
    <row r="20" spans="2:9" ht="9.75">
      <c r="B20" s="3" t="s">
        <v>217</v>
      </c>
      <c r="D20" s="4">
        <v>1476340</v>
      </c>
      <c r="E20" s="4">
        <f>D20/F20</f>
        <v>1476340</v>
      </c>
      <c r="F20" s="14">
        <v>1</v>
      </c>
      <c r="G20" s="4">
        <f>E20</f>
        <v>1476340</v>
      </c>
      <c r="H20" s="11" t="s">
        <v>219</v>
      </c>
      <c r="I20" s="3" t="s">
        <v>276</v>
      </c>
    </row>
    <row r="21" spans="2:9" ht="10.5" thickBot="1">
      <c r="B21" s="3" t="s">
        <v>217</v>
      </c>
      <c r="D21" s="4">
        <f>(3805000-D20)</f>
        <v>2328660</v>
      </c>
      <c r="E21" s="4">
        <f>D21/F21</f>
        <v>2328660</v>
      </c>
      <c r="F21" s="14">
        <v>1</v>
      </c>
      <c r="G21" s="4">
        <f>E21</f>
        <v>2328660</v>
      </c>
      <c r="H21" s="11" t="s">
        <v>220</v>
      </c>
      <c r="I21" s="3" t="s">
        <v>277</v>
      </c>
    </row>
    <row r="22" spans="4:9" ht="9.75">
      <c r="D22" s="12">
        <f>SUM(D20:D21)</f>
        <v>3805000</v>
      </c>
      <c r="E22" s="12">
        <f>SUM(E20:E21)</f>
        <v>3805000</v>
      </c>
      <c r="G22" s="12">
        <f>SUM(G20:G21)</f>
        <v>3805000</v>
      </c>
      <c r="I22" s="3" t="s">
        <v>278</v>
      </c>
    </row>
    <row r="24" spans="1:9" ht="9.75">
      <c r="A24" s="9">
        <v>97</v>
      </c>
      <c r="B24" s="8" t="s">
        <v>222</v>
      </c>
      <c r="C24" s="31">
        <v>904</v>
      </c>
      <c r="I24" s="3" t="s">
        <v>279</v>
      </c>
    </row>
    <row r="25" spans="2:9" ht="9.75">
      <c r="B25" s="3" t="s">
        <v>217</v>
      </c>
      <c r="C25" s="9" t="s">
        <v>210</v>
      </c>
      <c r="D25" s="4">
        <v>16893000</v>
      </c>
      <c r="E25" s="4">
        <f>D25/F25</f>
        <v>16893000</v>
      </c>
      <c r="F25" s="14">
        <v>1</v>
      </c>
      <c r="G25" s="4">
        <v>0</v>
      </c>
      <c r="H25" s="11" t="s">
        <v>220</v>
      </c>
      <c r="I25" s="3" t="s">
        <v>252</v>
      </c>
    </row>
    <row r="26" ht="9.75">
      <c r="I26" s="3" t="s">
        <v>253</v>
      </c>
    </row>
    <row r="27" ht="9.75">
      <c r="I27" s="3" t="s">
        <v>254</v>
      </c>
    </row>
    <row r="28" spans="1:9" ht="9.75">
      <c r="A28" s="9">
        <v>100</v>
      </c>
      <c r="B28" s="8" t="s">
        <v>223</v>
      </c>
      <c r="C28" s="9"/>
      <c r="I28" s="3" t="s">
        <v>210</v>
      </c>
    </row>
    <row r="29" spans="2:9" ht="9.75">
      <c r="B29" s="3" t="s">
        <v>216</v>
      </c>
      <c r="C29" s="11">
        <v>920</v>
      </c>
      <c r="D29" s="4">
        <v>-15392467</v>
      </c>
      <c r="E29" s="4">
        <f>D29/F29</f>
        <v>-15520589.466042178</v>
      </c>
      <c r="F29" s="14">
        <v>0.991745</v>
      </c>
      <c r="G29" s="4">
        <f>E29</f>
        <v>-15520589.466042178</v>
      </c>
      <c r="H29" s="11" t="s">
        <v>220</v>
      </c>
      <c r="I29" s="3" t="s">
        <v>280</v>
      </c>
    </row>
    <row r="30" ht="9.75">
      <c r="I30" s="3" t="s">
        <v>281</v>
      </c>
    </row>
    <row r="31" ht="9.75">
      <c r="I31" s="3" t="s">
        <v>282</v>
      </c>
    </row>
    <row r="32" ht="9.75">
      <c r="I32" s="3" t="s">
        <v>285</v>
      </c>
    </row>
    <row r="33" ht="9.75">
      <c r="I33" s="3" t="s">
        <v>286</v>
      </c>
    </row>
    <row r="35" spans="1:9" ht="9.75">
      <c r="A35" s="9">
        <v>103</v>
      </c>
      <c r="B35" s="8" t="s">
        <v>224</v>
      </c>
      <c r="C35" s="9"/>
      <c r="I35" s="3" t="s">
        <v>273</v>
      </c>
    </row>
    <row r="36" spans="2:9" ht="9.75">
      <c r="B36" s="3" t="s">
        <v>216</v>
      </c>
      <c r="C36" s="11">
        <v>920</v>
      </c>
      <c r="D36" s="4">
        <v>-17214369</v>
      </c>
      <c r="E36" s="4">
        <f>D36/F36</f>
        <v>-17214369</v>
      </c>
      <c r="F36" s="14">
        <v>1</v>
      </c>
      <c r="G36" s="4">
        <f>E36</f>
        <v>-17214369</v>
      </c>
      <c r="H36" s="11" t="s">
        <v>219</v>
      </c>
      <c r="I36" s="3" t="s">
        <v>283</v>
      </c>
    </row>
    <row r="37" spans="2:9" ht="10.5" thickBot="1">
      <c r="B37" s="3" t="s">
        <v>216</v>
      </c>
      <c r="D37" s="4">
        <f>-49510136-D36</f>
        <v>-32295767</v>
      </c>
      <c r="E37" s="4">
        <f>D37/F37</f>
        <v>-32295767</v>
      </c>
      <c r="F37" s="14">
        <v>1</v>
      </c>
      <c r="G37" s="4">
        <f>E37</f>
        <v>-32295767</v>
      </c>
      <c r="H37" s="11" t="s">
        <v>220</v>
      </c>
      <c r="I37" s="3" t="s">
        <v>284</v>
      </c>
    </row>
    <row r="38" spans="4:9" ht="9.75">
      <c r="D38" s="12">
        <f>SUM(D36:D37)</f>
        <v>-49510136</v>
      </c>
      <c r="E38" s="12">
        <f>SUM(E36:E37)</f>
        <v>-49510136</v>
      </c>
      <c r="G38" s="12">
        <f>SUM(G36:G37)</f>
        <v>-49510136</v>
      </c>
      <c r="I38" s="86"/>
    </row>
    <row r="40" spans="1:9" ht="9.75">
      <c r="A40" s="9">
        <v>108</v>
      </c>
      <c r="B40" s="8" t="s">
        <v>225</v>
      </c>
      <c r="C40" s="9"/>
      <c r="I40" s="3" t="s">
        <v>276</v>
      </c>
    </row>
    <row r="41" spans="2:9" ht="9.75">
      <c r="B41" s="3" t="s">
        <v>233</v>
      </c>
      <c r="C41" s="11">
        <v>524</v>
      </c>
      <c r="D41" s="4">
        <v>-6084000</v>
      </c>
      <c r="E41" s="4">
        <f>D41/F41</f>
        <v>-6156394.27151763</v>
      </c>
      <c r="F41" s="14">
        <v>0.9882408</v>
      </c>
      <c r="G41" s="4">
        <f>E41</f>
        <v>-6156394.27151763</v>
      </c>
      <c r="H41" s="11" t="s">
        <v>219</v>
      </c>
      <c r="I41" s="3" t="s">
        <v>277</v>
      </c>
    </row>
    <row r="42" ht="9.75">
      <c r="I42" s="3" t="s">
        <v>278</v>
      </c>
    </row>
    <row r="43" spans="1:3" ht="9.75">
      <c r="A43" s="9">
        <v>109</v>
      </c>
      <c r="B43" s="8" t="s">
        <v>226</v>
      </c>
      <c r="C43" s="9"/>
    </row>
    <row r="44" spans="2:9" ht="9.75">
      <c r="B44" s="3" t="s">
        <v>216</v>
      </c>
      <c r="C44" s="11">
        <v>922</v>
      </c>
      <c r="D44" s="4">
        <v>-3373238</v>
      </c>
      <c r="E44" s="4">
        <f>D44/F44</f>
        <v>-3401315.862444479</v>
      </c>
      <c r="F44" s="14">
        <v>0.991745</v>
      </c>
      <c r="G44" s="4">
        <f>E44</f>
        <v>-3401315.862444479</v>
      </c>
      <c r="H44" s="11" t="s">
        <v>219</v>
      </c>
      <c r="I44" s="3" t="s">
        <v>276</v>
      </c>
    </row>
    <row r="45" spans="2:9" ht="10.5" thickBot="1">
      <c r="B45" s="3" t="s">
        <v>216</v>
      </c>
      <c r="C45" s="11">
        <v>922</v>
      </c>
      <c r="D45" s="4">
        <f>-4555224-D44</f>
        <v>-1181986</v>
      </c>
      <c r="E45" s="4">
        <f>D45/F45</f>
        <v>-1191824.511341121</v>
      </c>
      <c r="F45" s="14">
        <v>0.991745</v>
      </c>
      <c r="G45" s="4">
        <f>E45</f>
        <v>-1191824.511341121</v>
      </c>
      <c r="H45" s="11" t="s">
        <v>220</v>
      </c>
      <c r="I45" s="3" t="s">
        <v>277</v>
      </c>
    </row>
    <row r="46" spans="4:9" ht="9.75">
      <c r="D46" s="12">
        <f>SUM(D44:D45)</f>
        <v>-4555224</v>
      </c>
      <c r="E46" s="12">
        <f>SUM(E44:E45)</f>
        <v>-4593140.3737856</v>
      </c>
      <c r="G46" s="12">
        <f>SUM(G44:G45)</f>
        <v>-4593140.3737856</v>
      </c>
      <c r="I46" s="3" t="s">
        <v>278</v>
      </c>
    </row>
    <row r="49" spans="1:9" ht="9.75">
      <c r="A49" s="9">
        <v>120</v>
      </c>
      <c r="B49" s="8" t="s">
        <v>227</v>
      </c>
      <c r="C49" s="31">
        <v>924</v>
      </c>
      <c r="I49" s="3" t="s">
        <v>249</v>
      </c>
    </row>
    <row r="50" spans="2:9" ht="9.75">
      <c r="B50" s="3" t="s">
        <v>216</v>
      </c>
      <c r="D50" s="4">
        <v>-148666500</v>
      </c>
      <c r="E50" s="4">
        <f>D50/F50</f>
        <v>-150000000</v>
      </c>
      <c r="F50" s="14">
        <v>0.99111</v>
      </c>
      <c r="G50" s="4">
        <v>0</v>
      </c>
      <c r="H50" s="11" t="s">
        <v>220</v>
      </c>
      <c r="I50" s="3" t="s">
        <v>252</v>
      </c>
    </row>
    <row r="51" ht="9.75">
      <c r="I51" s="3" t="s">
        <v>253</v>
      </c>
    </row>
    <row r="52" ht="9.75">
      <c r="I52" s="3" t="s">
        <v>254</v>
      </c>
    </row>
    <row r="54" spans="1:3" ht="9.75">
      <c r="A54" s="9">
        <v>122</v>
      </c>
      <c r="B54" s="8" t="s">
        <v>228</v>
      </c>
      <c r="C54" s="9"/>
    </row>
    <row r="55" spans="2:9" ht="9.75">
      <c r="B55" s="3" t="s">
        <v>216</v>
      </c>
      <c r="D55" s="4">
        <v>-217250</v>
      </c>
      <c r="E55" s="4">
        <f>D55/F55</f>
        <v>-217250</v>
      </c>
      <c r="F55" s="14">
        <v>1</v>
      </c>
      <c r="G55" s="4">
        <f>E55</f>
        <v>-217250</v>
      </c>
      <c r="H55" s="11" t="s">
        <v>220</v>
      </c>
      <c r="I55" s="3" t="s">
        <v>256</v>
      </c>
    </row>
    <row r="56" spans="2:9" ht="10.5" thickBot="1">
      <c r="B56" s="3" t="s">
        <v>229</v>
      </c>
      <c r="G56" s="4">
        <v>1019000</v>
      </c>
      <c r="H56" s="11" t="s">
        <v>220</v>
      </c>
      <c r="I56" s="3" t="s">
        <v>257</v>
      </c>
    </row>
    <row r="57" spans="7:9" ht="9.75">
      <c r="G57" s="12">
        <f>SUM(G55:G56)</f>
        <v>801750</v>
      </c>
      <c r="I57" s="3" t="s">
        <v>258</v>
      </c>
    </row>
    <row r="59" spans="1:9" ht="9.75">
      <c r="A59" s="9">
        <v>124</v>
      </c>
      <c r="B59" s="8" t="s">
        <v>230</v>
      </c>
      <c r="C59" s="9"/>
      <c r="I59" s="3" t="s">
        <v>260</v>
      </c>
    </row>
    <row r="60" spans="2:9" ht="9.75">
      <c r="B60" s="3" t="s">
        <v>216</v>
      </c>
      <c r="D60" s="4">
        <v>1582000</v>
      </c>
      <c r="E60" s="4">
        <f>D60/F60</f>
        <v>1582000</v>
      </c>
      <c r="F60" s="14">
        <v>1</v>
      </c>
      <c r="G60" s="4">
        <v>0</v>
      </c>
      <c r="H60" s="11" t="s">
        <v>220</v>
      </c>
      <c r="I60" s="3" t="s">
        <v>261</v>
      </c>
    </row>
    <row r="61" ht="9.75">
      <c r="I61" s="3" t="s">
        <v>262</v>
      </c>
    </row>
    <row r="62" ht="9.75">
      <c r="I62" s="3" t="s">
        <v>254</v>
      </c>
    </row>
    <row r="64" spans="1:9" ht="9.75">
      <c r="A64" s="9">
        <v>125</v>
      </c>
      <c r="B64" s="8" t="s">
        <v>331</v>
      </c>
      <c r="C64" s="9"/>
      <c r="I64" s="3" t="s">
        <v>260</v>
      </c>
    </row>
    <row r="65" spans="2:9" ht="9.75">
      <c r="B65" s="3" t="s">
        <v>216</v>
      </c>
      <c r="D65" s="4">
        <v>427000</v>
      </c>
      <c r="E65" s="4">
        <f>D65/F65</f>
        <v>429999.98086651135</v>
      </c>
      <c r="F65" s="14">
        <v>0.9930233</v>
      </c>
      <c r="G65" s="4">
        <v>0</v>
      </c>
      <c r="H65" s="11" t="s">
        <v>220</v>
      </c>
      <c r="I65" s="3" t="s">
        <v>261</v>
      </c>
    </row>
    <row r="66" ht="9.75">
      <c r="I66" s="3" t="s">
        <v>262</v>
      </c>
    </row>
    <row r="67" ht="9.75">
      <c r="I67" s="3" t="s">
        <v>254</v>
      </c>
    </row>
    <row r="69" spans="1:9" ht="9.75">
      <c r="A69" s="9">
        <v>126</v>
      </c>
      <c r="B69" s="8" t="s">
        <v>231</v>
      </c>
      <c r="C69" s="9"/>
      <c r="D69" s="4">
        <v>650000</v>
      </c>
      <c r="E69" s="4">
        <f>D69/F69</f>
        <v>662135.6216740418</v>
      </c>
      <c r="F69" s="14">
        <v>0.981672</v>
      </c>
      <c r="G69" s="4">
        <v>0</v>
      </c>
      <c r="H69" s="11" t="s">
        <v>220</v>
      </c>
      <c r="I69" s="3" t="s">
        <v>259</v>
      </c>
    </row>
    <row r="72" spans="2:7" ht="9.75">
      <c r="B72" s="8" t="s">
        <v>232</v>
      </c>
      <c r="C72" s="9"/>
      <c r="D72" s="7">
        <f>D7+D10+D14+D17+D22+D25+D29+D38+D41+D46+D50+D55+D60+D65+D69</f>
        <v>-219346963</v>
      </c>
      <c r="G72" s="7">
        <f>G7+G10+G14+G17+G22+G25+G29+G38+G41+G46+G50+G57+G60+G65+G69</f>
        <v>-72866572.77807191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9.140625" style="3" customWidth="1"/>
    <col min="2" max="2" width="12.7109375" style="3" customWidth="1"/>
    <col min="3" max="3" width="9.7109375" style="11" customWidth="1"/>
    <col min="4" max="4" width="9.7109375" style="3" customWidth="1"/>
    <col min="5" max="5" width="10.7109375" style="39" customWidth="1"/>
    <col min="6" max="9" width="9.7109375" style="3" customWidth="1"/>
    <col min="10" max="11" width="9.140625" style="3" customWidth="1"/>
    <col min="12" max="12" width="16.140625" style="3" bestFit="1" customWidth="1"/>
    <col min="13" max="16384" width="9.140625" style="3" customWidth="1"/>
  </cols>
  <sheetData>
    <row r="1" spans="1:9" ht="15">
      <c r="A1" s="268" t="s">
        <v>1120</v>
      </c>
      <c r="B1"/>
      <c r="C1" s="34"/>
      <c r="D1"/>
      <c r="E1" s="36"/>
      <c r="F1"/>
      <c r="G1"/>
      <c r="H1"/>
      <c r="I1"/>
    </row>
    <row r="2" spans="1:9" ht="15">
      <c r="A2" s="268" t="s">
        <v>1116</v>
      </c>
      <c r="B2"/>
      <c r="C2" s="34"/>
      <c r="D2"/>
      <c r="E2" s="36"/>
      <c r="F2"/>
      <c r="G2"/>
      <c r="H2"/>
      <c r="I2"/>
    </row>
    <row r="3" spans="2:9" ht="9.75">
      <c r="B3" s="9" t="s">
        <v>210</v>
      </c>
      <c r="C3" s="9"/>
      <c r="D3" s="9"/>
      <c r="E3" s="37" t="s">
        <v>210</v>
      </c>
      <c r="F3" s="8"/>
      <c r="G3" s="9" t="s">
        <v>210</v>
      </c>
      <c r="H3" s="9" t="s">
        <v>210</v>
      </c>
      <c r="I3" s="9"/>
    </row>
    <row r="4" spans="2:9" ht="30.75" thickBot="1">
      <c r="B4" s="32" t="s">
        <v>242</v>
      </c>
      <c r="C4" s="32" t="s">
        <v>243</v>
      </c>
      <c r="D4" s="32" t="s">
        <v>244</v>
      </c>
      <c r="E4" s="38" t="s">
        <v>245</v>
      </c>
      <c r="F4" s="32" t="s">
        <v>243</v>
      </c>
      <c r="G4" s="32" t="s">
        <v>246</v>
      </c>
      <c r="H4" s="32" t="s">
        <v>247</v>
      </c>
      <c r="I4" s="32" t="s">
        <v>248</v>
      </c>
    </row>
    <row r="5" spans="1:9" ht="7.5" customHeight="1">
      <c r="A5" s="11"/>
      <c r="B5" s="33" t="s">
        <v>210</v>
      </c>
      <c r="D5" s="11" t="s">
        <v>210</v>
      </c>
      <c r="E5" s="40" t="s">
        <v>210</v>
      </c>
      <c r="F5" s="11"/>
      <c r="G5" s="33" t="s">
        <v>210</v>
      </c>
      <c r="H5" s="11"/>
      <c r="I5" s="11" t="s">
        <v>210</v>
      </c>
    </row>
    <row r="6" spans="1:10" ht="9.75">
      <c r="A6" s="11">
        <v>1988</v>
      </c>
      <c r="B6" s="187">
        <v>2953663</v>
      </c>
      <c r="C6" s="176" t="s">
        <v>210</v>
      </c>
      <c r="D6" s="177">
        <v>1</v>
      </c>
      <c r="E6" s="247">
        <v>118.71491496118615</v>
      </c>
      <c r="F6" s="176" t="s">
        <v>210</v>
      </c>
      <c r="G6" s="177">
        <v>1</v>
      </c>
      <c r="H6" s="177">
        <f>D6*G6</f>
        <v>1</v>
      </c>
      <c r="I6" s="177">
        <v>1</v>
      </c>
      <c r="J6" s="178"/>
    </row>
    <row r="7" spans="1:10" ht="9.75">
      <c r="A7" s="11">
        <v>1989</v>
      </c>
      <c r="B7" s="187">
        <v>3064436</v>
      </c>
      <c r="C7" s="176">
        <f aca="true" t="shared" si="0" ref="C7:C29">(B7/B6)-1</f>
        <v>0.03750360146028853</v>
      </c>
      <c r="D7" s="177">
        <f aca="true" t="shared" si="1" ref="D7:D27">(1+C7)*D6</f>
        <v>1.0375036014602885</v>
      </c>
      <c r="E7" s="247">
        <v>124.47573741120192</v>
      </c>
      <c r="F7" s="176">
        <f aca="true" t="shared" si="2" ref="F7:F27">(E7/E6)-1</f>
        <v>0.04852652635853949</v>
      </c>
      <c r="G7" s="177">
        <f aca="true" t="shared" si="3" ref="G7:G29">(1+F7)*G6</f>
        <v>1.0485265263585395</v>
      </c>
      <c r="H7" s="177">
        <f>(1+C7)*(1+F7)</f>
        <v>1.0878500473236308</v>
      </c>
      <c r="I7" s="177">
        <f>I6*H7</f>
        <v>1.0878500473236308</v>
      </c>
      <c r="J7" s="178"/>
    </row>
    <row r="8" spans="1:10" ht="9.75">
      <c r="A8" s="11">
        <v>1990</v>
      </c>
      <c r="B8" s="187">
        <v>3158817</v>
      </c>
      <c r="C8" s="176">
        <f t="shared" si="0"/>
        <v>0.03079881583430044</v>
      </c>
      <c r="D8" s="177">
        <f t="shared" si="1"/>
        <v>1.0694574838090873</v>
      </c>
      <c r="E8" s="247">
        <v>131.23983359937574</v>
      </c>
      <c r="F8" s="176">
        <f t="shared" si="2"/>
        <v>0.054340679789096846</v>
      </c>
      <c r="G8" s="177">
        <f t="shared" si="3"/>
        <v>1.1055041705777628</v>
      </c>
      <c r="H8" s="177">
        <f>(1+C8)*(1+F8)</f>
        <v>1.0868131242125323</v>
      </c>
      <c r="I8" s="177">
        <f>I7*H8</f>
        <v>1.1822897086065463</v>
      </c>
      <c r="J8" s="178"/>
    </row>
    <row r="9" spans="1:10" ht="9.75">
      <c r="A9" s="11">
        <v>1991</v>
      </c>
      <c r="B9" s="187">
        <v>3226455</v>
      </c>
      <c r="C9" s="176">
        <f t="shared" si="0"/>
        <v>0.02141244649500118</v>
      </c>
      <c r="D9" s="177">
        <f t="shared" si="1"/>
        <v>1.092357184959828</v>
      </c>
      <c r="E9" s="247">
        <v>136.4880890917151</v>
      </c>
      <c r="F9" s="176">
        <f t="shared" si="2"/>
        <v>0.03998980605507496</v>
      </c>
      <c r="G9" s="177">
        <f t="shared" si="3"/>
        <v>1.149713067952244</v>
      </c>
      <c r="H9" s="177">
        <f aca="true" t="shared" si="4" ref="H9:H29">(1+C9)*(1+F9)</f>
        <v>1.062258532132576</v>
      </c>
      <c r="I9" s="177">
        <f aca="true" t="shared" si="5" ref="I9:I29">I8*H9</f>
        <v>1.2558973304198406</v>
      </c>
      <c r="J9" s="178"/>
    </row>
    <row r="10" spans="1:10" ht="9.75">
      <c r="A10" s="11">
        <v>1992</v>
      </c>
      <c r="B10" s="187">
        <v>3281328</v>
      </c>
      <c r="C10" s="176">
        <f t="shared" si="0"/>
        <v>0.017007210700288766</v>
      </c>
      <c r="D10" s="177">
        <f t="shared" si="1"/>
        <v>1.110935133764414</v>
      </c>
      <c r="E10" s="247">
        <v>140.67430700430734</v>
      </c>
      <c r="F10" s="176">
        <f t="shared" si="2"/>
        <v>0.030670939423727006</v>
      </c>
      <c r="G10" s="177">
        <f t="shared" si="3"/>
        <v>1.1849758478140746</v>
      </c>
      <c r="H10" s="177">
        <f t="shared" si="4"/>
        <v>1.0481997772531708</v>
      </c>
      <c r="I10" s="177">
        <f t="shared" si="5"/>
        <v>1.3164313019989289</v>
      </c>
      <c r="J10" s="178"/>
    </row>
    <row r="11" spans="1:10" ht="9.75">
      <c r="A11" s="11">
        <v>1993</v>
      </c>
      <c r="B11" s="187">
        <v>3355794</v>
      </c>
      <c r="C11" s="176">
        <f t="shared" si="0"/>
        <v>0.022693860534515276</v>
      </c>
      <c r="D11" s="177">
        <f t="shared" si="1"/>
        <v>1.1361465407529567</v>
      </c>
      <c r="E11" s="247">
        <v>144.7876860812559</v>
      </c>
      <c r="F11" s="176">
        <f t="shared" si="2"/>
        <v>0.029240443152299456</v>
      </c>
      <c r="G11" s="177">
        <f t="shared" si="3"/>
        <v>1.21962506672893</v>
      </c>
      <c r="H11" s="177">
        <f t="shared" si="4"/>
        <v>1.0525978822256805</v>
      </c>
      <c r="I11" s="177">
        <f t="shared" si="5"/>
        <v>1.385672800579668</v>
      </c>
      <c r="J11" s="178"/>
    </row>
    <row r="12" spans="1:10" ht="9.75">
      <c r="A12" s="11">
        <v>1994</v>
      </c>
      <c r="B12" s="187">
        <v>3422187</v>
      </c>
      <c r="C12" s="176">
        <f t="shared" si="0"/>
        <v>0.019784587492557737</v>
      </c>
      <c r="D12" s="177">
        <f t="shared" si="1"/>
        <v>1.1586247313928504</v>
      </c>
      <c r="E12" s="247">
        <v>148.56035432772484</v>
      </c>
      <c r="F12" s="176">
        <f t="shared" si="2"/>
        <v>0.026056554590917935</v>
      </c>
      <c r="G12" s="177">
        <f t="shared" si="3"/>
        <v>1.2514042938606043</v>
      </c>
      <c r="H12" s="177">
        <f t="shared" si="4"/>
        <v>1.0463566602675343</v>
      </c>
      <c r="I12" s="177">
        <f t="shared" si="5"/>
        <v>1.4499079638381023</v>
      </c>
      <c r="J12" s="178"/>
    </row>
    <row r="13" spans="1:10" ht="9.75">
      <c r="A13" s="11">
        <v>1995</v>
      </c>
      <c r="B13" s="187">
        <v>3488796</v>
      </c>
      <c r="C13" s="176">
        <f t="shared" si="0"/>
        <v>0.01946386915735454</v>
      </c>
      <c r="D13" s="177">
        <f t="shared" si="1"/>
        <v>1.1811760515671559</v>
      </c>
      <c r="E13" s="247">
        <v>152.7301887770898</v>
      </c>
      <c r="F13" s="176">
        <f t="shared" si="2"/>
        <v>0.028068285568074947</v>
      </c>
      <c r="G13" s="177">
        <f t="shared" si="3"/>
        <v>1.2865290669417988</v>
      </c>
      <c r="H13" s="177">
        <f t="shared" si="4"/>
        <v>1.0480784721631977</v>
      </c>
      <c r="I13" s="177">
        <f t="shared" si="5"/>
        <v>1.5196173235166912</v>
      </c>
      <c r="J13" s="178"/>
    </row>
    <row r="14" spans="1:10" ht="9.75">
      <c r="A14" s="11">
        <v>1996</v>
      </c>
      <c r="B14" s="187">
        <v>3550747</v>
      </c>
      <c r="C14" s="176">
        <f t="shared" si="0"/>
        <v>0.017757128820372392</v>
      </c>
      <c r="D14" s="177">
        <f t="shared" si="1"/>
        <v>1.2021503468743726</v>
      </c>
      <c r="E14" s="247">
        <v>157.25797055254841</v>
      </c>
      <c r="F14" s="176">
        <f t="shared" si="2"/>
        <v>0.029645624167118134</v>
      </c>
      <c r="G14" s="177">
        <f t="shared" si="3"/>
        <v>1.3246690241404286</v>
      </c>
      <c r="H14" s="177">
        <f t="shared" si="4"/>
        <v>1.0479291741547865</v>
      </c>
      <c r="I14" s="177">
        <f t="shared" si="5"/>
        <v>1.5924513268641531</v>
      </c>
      <c r="J14" s="178"/>
    </row>
    <row r="15" spans="1:10" ht="9.75">
      <c r="A15" s="11">
        <v>1997</v>
      </c>
      <c r="B15" s="187">
        <v>3615485</v>
      </c>
      <c r="C15" s="176">
        <f t="shared" si="0"/>
        <v>0.018232219868101085</v>
      </c>
      <c r="D15" s="177">
        <f t="shared" si="1"/>
        <v>1.2240682163131003</v>
      </c>
      <c r="E15" s="247">
        <v>160.72706868994632</v>
      </c>
      <c r="F15" s="176">
        <f t="shared" si="2"/>
        <v>0.022059919285545515</v>
      </c>
      <c r="G15" s="177">
        <f t="shared" si="3"/>
        <v>1.353891115893029</v>
      </c>
      <c r="H15" s="177">
        <f t="shared" si="4"/>
        <v>1.0406943404523332</v>
      </c>
      <c r="I15" s="177">
        <f t="shared" si="5"/>
        <v>1.6572550833133328</v>
      </c>
      <c r="J15" s="178"/>
    </row>
    <row r="16" spans="1:10" ht="9.75">
      <c r="A16" s="11">
        <v>1998</v>
      </c>
      <c r="B16" s="187">
        <v>3680470</v>
      </c>
      <c r="C16" s="176">
        <f t="shared" si="0"/>
        <v>0.017974075400672307</v>
      </c>
      <c r="D16" s="177">
        <f t="shared" si="1"/>
        <v>1.2460697107286784</v>
      </c>
      <c r="E16" s="247">
        <v>163.22613080076653</v>
      </c>
      <c r="F16" s="176">
        <f t="shared" si="2"/>
        <v>0.015548483097399535</v>
      </c>
      <c r="G16" s="177">
        <f t="shared" si="3"/>
        <v>1.3749420690242111</v>
      </c>
      <c r="H16" s="177">
        <f t="shared" si="4"/>
        <v>1.0338020281056306</v>
      </c>
      <c r="I16" s="177">
        <f t="shared" si="5"/>
        <v>1.7132736662176893</v>
      </c>
      <c r="J16" s="178"/>
    </row>
    <row r="17" spans="1:10" ht="9.75">
      <c r="A17" s="11">
        <v>1999</v>
      </c>
      <c r="B17" s="187">
        <v>3756009</v>
      </c>
      <c r="C17" s="176">
        <f t="shared" si="0"/>
        <v>0.020524280866302425</v>
      </c>
      <c r="D17" s="177">
        <f t="shared" si="1"/>
        <v>1.271644395450666</v>
      </c>
      <c r="E17" s="247">
        <v>167.02051552452525</v>
      </c>
      <c r="F17" s="176">
        <f t="shared" si="2"/>
        <v>0.023246184328109543</v>
      </c>
      <c r="G17" s="177">
        <f t="shared" si="3"/>
        <v>1.4069042258012203</v>
      </c>
      <c r="H17" s="177">
        <f t="shared" si="4"/>
        <v>1.0442475764106318</v>
      </c>
      <c r="I17" s="177">
        <f t="shared" si="5"/>
        <v>1.7890818736759797</v>
      </c>
      <c r="J17" s="178"/>
    </row>
    <row r="18" spans="1:10" ht="9.75">
      <c r="A18" s="11">
        <v>2000</v>
      </c>
      <c r="B18" s="187">
        <v>3848350</v>
      </c>
      <c r="C18" s="176">
        <f t="shared" si="0"/>
        <v>0.024584871867985303</v>
      </c>
      <c r="D18" s="177">
        <f t="shared" si="1"/>
        <v>1.3029076099744623</v>
      </c>
      <c r="E18" s="247">
        <v>172.67424867377503</v>
      </c>
      <c r="F18" s="176">
        <f t="shared" si="2"/>
        <v>0.03385053106496727</v>
      </c>
      <c r="G18" s="177">
        <f t="shared" si="3"/>
        <v>1.4545286810021383</v>
      </c>
      <c r="H18" s="177">
        <f t="shared" si="4"/>
        <v>1.059267613901848</v>
      </c>
      <c r="I18" s="177">
        <f t="shared" si="5"/>
        <v>1.8951164874038025</v>
      </c>
      <c r="J18" s="178"/>
    </row>
    <row r="19" spans="1:10" ht="9.75">
      <c r="A19" s="11">
        <v>2001</v>
      </c>
      <c r="B19" s="187">
        <v>3935281</v>
      </c>
      <c r="C19" s="176">
        <f t="shared" si="0"/>
        <v>0.02258916158873281</v>
      </c>
      <c r="D19" s="177">
        <f t="shared" si="1"/>
        <v>1.332339200511365</v>
      </c>
      <c r="E19" s="247">
        <v>177.2298670970425</v>
      </c>
      <c r="F19" s="176">
        <f t="shared" si="2"/>
        <v>0.026382731983818797</v>
      </c>
      <c r="G19" s="177">
        <f t="shared" si="3"/>
        <v>1.492903121355795</v>
      </c>
      <c r="H19" s="177">
        <f t="shared" si="4"/>
        <v>1.0495678573684863</v>
      </c>
      <c r="I19" s="177">
        <f t="shared" si="5"/>
        <v>1.989053351148101</v>
      </c>
      <c r="J19" s="178"/>
    </row>
    <row r="20" spans="1:10" ht="9.75">
      <c r="A20" s="11">
        <v>2002</v>
      </c>
      <c r="B20" s="187">
        <v>4019805</v>
      </c>
      <c r="C20" s="176">
        <f t="shared" si="0"/>
        <v>0.021478517036013445</v>
      </c>
      <c r="D20" s="177">
        <f t="shared" si="1"/>
        <v>1.3609558707272968</v>
      </c>
      <c r="E20" s="247">
        <v>180.3195742088026</v>
      </c>
      <c r="F20" s="176">
        <f t="shared" si="2"/>
        <v>0.01743333199064212</v>
      </c>
      <c r="G20" s="177">
        <f t="shared" si="3"/>
        <v>1.5189293971002564</v>
      </c>
      <c r="H20" s="177">
        <f t="shared" si="4"/>
        <v>1.039286291144811</v>
      </c>
      <c r="I20" s="177">
        <f t="shared" si="5"/>
        <v>2.0671958802038675</v>
      </c>
      <c r="J20" s="178"/>
    </row>
    <row r="21" spans="1:10" ht="9.75">
      <c r="A21" s="11">
        <v>2003</v>
      </c>
      <c r="B21" s="187">
        <v>4117221</v>
      </c>
      <c r="C21" s="176">
        <f t="shared" si="0"/>
        <v>0.02423401135129688</v>
      </c>
      <c r="D21" s="177">
        <f t="shared" si="1"/>
        <v>1.3939372907471164</v>
      </c>
      <c r="E21" s="247">
        <v>184.25701462361184</v>
      </c>
      <c r="F21" s="176">
        <f t="shared" si="2"/>
        <v>0.021835901244142475</v>
      </c>
      <c r="G21" s="177">
        <f t="shared" si="3"/>
        <v>1.5520965894121626</v>
      </c>
      <c r="H21" s="177">
        <f t="shared" si="4"/>
        <v>1.0465990840740558</v>
      </c>
      <c r="I21" s="177">
        <f t="shared" si="5"/>
        <v>2.1635253148230293</v>
      </c>
      <c r="J21" s="178"/>
    </row>
    <row r="22" spans="1:10" ht="9.75">
      <c r="A22" s="11">
        <v>2004</v>
      </c>
      <c r="B22" s="187">
        <v>4224509</v>
      </c>
      <c r="C22" s="176">
        <f t="shared" si="0"/>
        <v>0.026058353437913517</v>
      </c>
      <c r="D22" s="177">
        <f t="shared" si="1"/>
        <v>1.4302610013396924</v>
      </c>
      <c r="E22" s="247">
        <v>189.4019666870481</v>
      </c>
      <c r="F22" s="176">
        <f t="shared" si="2"/>
        <v>0.02792269305972428</v>
      </c>
      <c r="G22" s="177">
        <f t="shared" si="3"/>
        <v>1.5954353060773632</v>
      </c>
      <c r="H22" s="177">
        <f t="shared" si="4"/>
        <v>1.0547086659023264</v>
      </c>
      <c r="I22" s="177">
        <f t="shared" si="5"/>
        <v>2.281888898442908</v>
      </c>
      <c r="J22" s="178"/>
    </row>
    <row r="23" spans="1:12" ht="9.75">
      <c r="A23" s="11">
        <v>2005</v>
      </c>
      <c r="B23" s="187">
        <v>4321895</v>
      </c>
      <c r="C23" s="176">
        <f t="shared" si="0"/>
        <v>0.023052619842921285</v>
      </c>
      <c r="D23" s="177">
        <f t="shared" si="1"/>
        <v>1.4632322644797322</v>
      </c>
      <c r="E23" s="247">
        <v>195.26666666666665</v>
      </c>
      <c r="F23" s="176">
        <f t="shared" si="2"/>
        <v>0.030964303498014267</v>
      </c>
      <c r="G23" s="177">
        <f t="shared" si="3"/>
        <v>1.64483684910619</v>
      </c>
      <c r="H23" s="177">
        <f t="shared" si="4"/>
        <v>1.0547307316581762</v>
      </c>
      <c r="I23" s="177">
        <f t="shared" si="5"/>
        <v>2.406778347417358</v>
      </c>
      <c r="J23" s="178"/>
      <c r="K23" s="179"/>
      <c r="L23" s="180"/>
    </row>
    <row r="24" spans="1:12" ht="9.75">
      <c r="A24" s="11">
        <v>2006</v>
      </c>
      <c r="B24" s="187">
        <v>4409563</v>
      </c>
      <c r="C24" s="176">
        <f t="shared" si="0"/>
        <v>0.020284620519471108</v>
      </c>
      <c r="D24" s="177">
        <f t="shared" si="1"/>
        <v>1.49291337569655</v>
      </c>
      <c r="E24" s="247">
        <v>201.55833333333337</v>
      </c>
      <c r="F24" s="176">
        <f t="shared" si="2"/>
        <v>0.03222089450324361</v>
      </c>
      <c r="G24" s="177">
        <f t="shared" si="3"/>
        <v>1.6978349636962882</v>
      </c>
      <c r="H24" s="177">
        <f t="shared" si="4"/>
        <v>1.053159103640511</v>
      </c>
      <c r="I24" s="177">
        <f t="shared" si="5"/>
        <v>2.534720527027455</v>
      </c>
      <c r="J24" s="178"/>
      <c r="K24" s="179"/>
      <c r="L24" s="180"/>
    </row>
    <row r="25" spans="1:12" ht="9.75">
      <c r="A25" s="11">
        <v>2007</v>
      </c>
      <c r="B25" s="187">
        <v>4496589.333333333</v>
      </c>
      <c r="C25" s="188">
        <f t="shared" si="0"/>
        <v>0.01973581811470493</v>
      </c>
      <c r="D25" s="189">
        <f t="shared" si="1"/>
        <v>1.5223772425403073</v>
      </c>
      <c r="E25" s="190">
        <v>207.34416666666667</v>
      </c>
      <c r="F25" s="188">
        <f t="shared" si="2"/>
        <v>0.02870550295613339</v>
      </c>
      <c r="G25" s="189">
        <f t="shared" si="3"/>
        <v>1.7465721702656987</v>
      </c>
      <c r="H25" s="189">
        <f t="shared" si="4"/>
        <v>1.0490078476560716</v>
      </c>
      <c r="I25" s="189">
        <f t="shared" si="5"/>
        <v>2.658941724466734</v>
      </c>
      <c r="J25" s="178"/>
      <c r="K25" s="179"/>
      <c r="L25" s="180"/>
    </row>
    <row r="26" spans="1:12" ht="9.75">
      <c r="A26" s="11">
        <v>2008</v>
      </c>
      <c r="B26" s="187">
        <v>4509730.166666667</v>
      </c>
      <c r="C26" s="188">
        <f t="shared" si="0"/>
        <v>0.002922400148023474</v>
      </c>
      <c r="D26" s="189">
        <f t="shared" si="1"/>
        <v>1.5268262380192545</v>
      </c>
      <c r="E26" s="190">
        <v>215.25424999999998</v>
      </c>
      <c r="F26" s="188">
        <f t="shared" si="2"/>
        <v>0.038149533987371864</v>
      </c>
      <c r="G26" s="189">
        <f t="shared" si="3"/>
        <v>1.8132030846366478</v>
      </c>
      <c r="H26" s="189">
        <f t="shared" si="4"/>
        <v>1.0411834223391672</v>
      </c>
      <c r="I26" s="189">
        <f t="shared" si="5"/>
        <v>2.7684460444806813</v>
      </c>
      <c r="J26" s="178"/>
      <c r="K26" s="179"/>
      <c r="L26" s="180"/>
    </row>
    <row r="27" spans="1:12" ht="9.75">
      <c r="A27" s="11">
        <v>2009</v>
      </c>
      <c r="B27" s="187">
        <v>4499066.75</v>
      </c>
      <c r="C27" s="188">
        <f t="shared" si="0"/>
        <v>-0.0023645354095650495</v>
      </c>
      <c r="D27" s="189">
        <f t="shared" si="1"/>
        <v>1.5232160033152051</v>
      </c>
      <c r="E27" s="190">
        <v>214.56466666666668</v>
      </c>
      <c r="F27" s="188">
        <f t="shared" si="2"/>
        <v>-0.0032035759262978303</v>
      </c>
      <c r="G27" s="189">
        <f>(1+F27)*G26</f>
        <v>1.8073943508852168</v>
      </c>
      <c r="H27" s="189">
        <f t="shared" si="4"/>
        <v>0.9944394636328521</v>
      </c>
      <c r="I27" s="189">
        <f t="shared" si="5"/>
        <v>2.7530519995698595</v>
      </c>
      <c r="J27" s="178"/>
      <c r="K27" s="179"/>
      <c r="L27" s="180"/>
    </row>
    <row r="28" spans="1:12" ht="9.75">
      <c r="A28" s="11">
        <v>2010</v>
      </c>
      <c r="B28" s="187">
        <v>4520327.66666667</v>
      </c>
      <c r="C28" s="188">
        <f>(B28/B27)-1</f>
        <v>0.004725628190928699</v>
      </c>
      <c r="D28" s="189">
        <f aca="true" t="shared" si="6" ref="D28:D36">(1+C28)*D27</f>
        <v>1.530414155801345</v>
      </c>
      <c r="E28" s="190">
        <v>218.07616666666672</v>
      </c>
      <c r="F28" s="188">
        <f aca="true" t="shared" si="7" ref="F28:F36">(E28/E27)-1</f>
        <v>0.016365695501278754</v>
      </c>
      <c r="G28" s="189">
        <f>(1+F28)*G27</f>
        <v>1.8369736164825357</v>
      </c>
      <c r="H28" s="189">
        <f>(1+C28)*(1+F28)</f>
        <v>1.0211686618842324</v>
      </c>
      <c r="I28" s="189">
        <f>I27*H28</f>
        <v>2.8113304264984635</v>
      </c>
      <c r="J28" s="178"/>
      <c r="K28" s="179"/>
      <c r="L28" s="180"/>
    </row>
    <row r="29" spans="1:12" ht="9.75">
      <c r="A29" s="11">
        <v>2011</v>
      </c>
      <c r="B29" s="187">
        <v>4547051</v>
      </c>
      <c r="C29" s="188">
        <f t="shared" si="0"/>
        <v>0.005911813325036208</v>
      </c>
      <c r="D29" s="189">
        <f t="shared" si="6"/>
        <v>1.5394616786004356</v>
      </c>
      <c r="E29" s="190">
        <v>224.9296666666667</v>
      </c>
      <c r="F29" s="188">
        <f t="shared" si="7"/>
        <v>0.03142709313336223</v>
      </c>
      <c r="G29" s="189">
        <f t="shared" si="3"/>
        <v>1.8947043574112614</v>
      </c>
      <c r="H29" s="189">
        <f t="shared" si="4"/>
        <v>1.0375246975663515</v>
      </c>
      <c r="I29" s="189">
        <f t="shared" si="5"/>
        <v>2.9168247505119003</v>
      </c>
      <c r="J29" s="178"/>
      <c r="K29" s="181"/>
      <c r="L29" s="180"/>
    </row>
    <row r="30" spans="1:12" ht="9.75">
      <c r="A30" s="11">
        <v>2012</v>
      </c>
      <c r="B30" s="187">
        <v>4576449</v>
      </c>
      <c r="C30" s="188">
        <f aca="true" t="shared" si="8" ref="C30:C36">(B30/B29)-1</f>
        <v>0.006465289261105678</v>
      </c>
      <c r="D30" s="189">
        <f t="shared" si="6"/>
        <v>1.5494147436589747</v>
      </c>
      <c r="E30" s="190">
        <v>229.6</v>
      </c>
      <c r="F30" s="188">
        <f t="shared" si="7"/>
        <v>0.02076352756194888</v>
      </c>
      <c r="G30" s="189">
        <f aca="true" t="shared" si="9" ref="G30:G36">(1+F30)*G29</f>
        <v>1.9340451035581148</v>
      </c>
      <c r="H30" s="189">
        <f aca="true" t="shared" si="10" ref="H30:H35">(1+C30)*(1+F30)</f>
        <v>1.0273630590348235</v>
      </c>
      <c r="I30" s="189">
        <f aca="true" t="shared" si="11" ref="I30:I35">I29*H30</f>
        <v>2.996637998354392</v>
      </c>
      <c r="J30" s="178"/>
      <c r="K30" s="181"/>
      <c r="L30" s="180"/>
    </row>
    <row r="31" spans="1:12" ht="9.75">
      <c r="A31" s="11">
        <v>2013</v>
      </c>
      <c r="B31" s="187">
        <v>4626934</v>
      </c>
      <c r="C31" s="188">
        <f t="shared" si="8"/>
        <v>0.011031478773171122</v>
      </c>
      <c r="D31" s="189">
        <f t="shared" si="6"/>
        <v>1.566507079514487</v>
      </c>
      <c r="E31" s="190">
        <v>232.96175000000002</v>
      </c>
      <c r="F31" s="188">
        <f t="shared" si="7"/>
        <v>0.014641768292683155</v>
      </c>
      <c r="G31" s="189">
        <f t="shared" si="9"/>
        <v>1.9623629438320112</v>
      </c>
      <c r="H31" s="189">
        <f t="shared" si="10"/>
        <v>1.0258347674219768</v>
      </c>
      <c r="I31" s="189">
        <f t="shared" si="11"/>
        <v>3.0740554440897356</v>
      </c>
      <c r="J31" s="178"/>
      <c r="K31" s="181"/>
      <c r="L31" s="180"/>
    </row>
    <row r="32" spans="1:12" ht="9.75">
      <c r="A32" s="11">
        <v>2014</v>
      </c>
      <c r="B32" s="187">
        <v>4708829</v>
      </c>
      <c r="C32" s="188">
        <f t="shared" si="8"/>
        <v>0.01769962571326933</v>
      </c>
      <c r="D32" s="189">
        <f t="shared" si="6"/>
        <v>1.59423366849908</v>
      </c>
      <c r="E32" s="190">
        <v>236.71225</v>
      </c>
      <c r="F32" s="188">
        <f t="shared" si="7"/>
        <v>0.01609920941957199</v>
      </c>
      <c r="G32" s="189">
        <f t="shared" si="9"/>
        <v>1.9939554358219704</v>
      </c>
      <c r="H32" s="189">
        <f t="shared" si="10"/>
        <v>1.0340837851138474</v>
      </c>
      <c r="I32" s="189">
        <f t="shared" si="11"/>
        <v>3.178830889274143</v>
      </c>
      <c r="J32" s="178"/>
      <c r="K32" s="181"/>
      <c r="L32" s="180"/>
    </row>
    <row r="33" spans="1:12" ht="9.75">
      <c r="A33" s="11">
        <v>2015</v>
      </c>
      <c r="B33" s="187">
        <v>4775381.583333333</v>
      </c>
      <c r="C33" s="188">
        <f t="shared" si="8"/>
        <v>0.014133574044275843</v>
      </c>
      <c r="D33" s="189">
        <f t="shared" si="6"/>
        <v>1.6167658880966893</v>
      </c>
      <c r="E33" s="190">
        <v>236.99983333333333</v>
      </c>
      <c r="F33" s="188">
        <f t="shared" si="7"/>
        <v>0.0012149068471669633</v>
      </c>
      <c r="G33" s="189">
        <f t="shared" si="9"/>
        <v>1.9963779059338964</v>
      </c>
      <c r="H33" s="189">
        <f t="shared" si="10"/>
        <v>1.0153656518673242</v>
      </c>
      <c r="I33" s="189">
        <f t="shared" si="11"/>
        <v>3.227675698063826</v>
      </c>
      <c r="J33" s="178"/>
      <c r="K33" s="181"/>
      <c r="L33" s="180"/>
    </row>
    <row r="34" spans="1:12" ht="9.75">
      <c r="A34" s="11">
        <v>2016</v>
      </c>
      <c r="B34" s="187">
        <v>4845390</v>
      </c>
      <c r="C34" s="188">
        <f t="shared" si="8"/>
        <v>0.014660276973677888</v>
      </c>
      <c r="D34" s="189">
        <f t="shared" si="6"/>
        <v>1.6404681238177812</v>
      </c>
      <c r="E34" s="190">
        <v>241.71375299760194</v>
      </c>
      <c r="F34" s="188">
        <f t="shared" si="7"/>
        <v>0.019889970376639976</v>
      </c>
      <c r="G34" s="189">
        <f t="shared" si="9"/>
        <v>2.0360858033435</v>
      </c>
      <c r="H34" s="189">
        <f t="shared" si="10"/>
        <v>1.0348418398250376</v>
      </c>
      <c r="I34" s="189">
        <f t="shared" si="11"/>
        <v>3.3401338577429325</v>
      </c>
      <c r="J34" s="182"/>
      <c r="K34" s="179"/>
      <c r="L34" s="180"/>
    </row>
    <row r="35" spans="1:11" ht="9.75">
      <c r="A35" s="11">
        <v>2017</v>
      </c>
      <c r="B35" s="187">
        <v>4917036</v>
      </c>
      <c r="C35" s="188">
        <f t="shared" si="8"/>
        <v>0.014786425860457086</v>
      </c>
      <c r="D35" s="189">
        <f t="shared" si="6"/>
        <v>1.664724784107056</v>
      </c>
      <c r="E35" s="190">
        <v>247.7315227817746</v>
      </c>
      <c r="F35" s="188">
        <f t="shared" si="7"/>
        <v>0.024896265560165887</v>
      </c>
      <c r="G35" s="189">
        <f t="shared" si="9"/>
        <v>2.0867767362068235</v>
      </c>
      <c r="H35" s="189">
        <f t="shared" si="10"/>
        <v>1.0400508182055306</v>
      </c>
      <c r="I35" s="189">
        <f t="shared" si="11"/>
        <v>3.473908951661532</v>
      </c>
      <c r="J35" s="182"/>
      <c r="K35" s="179"/>
    </row>
    <row r="36" spans="1:11" ht="9.75">
      <c r="A36" s="11">
        <v>2018</v>
      </c>
      <c r="B36" s="187">
        <v>4989888.8308739215</v>
      </c>
      <c r="C36" s="188">
        <f t="shared" si="8"/>
        <v>0.01481641193473493</v>
      </c>
      <c r="D36" s="189">
        <f t="shared" si="6"/>
        <v>1.6893900322663489</v>
      </c>
      <c r="E36" s="190">
        <v>254.250773381295</v>
      </c>
      <c r="F36" s="188">
        <f t="shared" si="7"/>
        <v>0.026315789473684292</v>
      </c>
      <c r="G36" s="189">
        <f t="shared" si="9"/>
        <v>2.1416919134754244</v>
      </c>
      <c r="H36" s="189">
        <f>(1+C36)*(1+F36)</f>
        <v>1.041522106985649</v>
      </c>
      <c r="I36" s="189">
        <f>I35*H36</f>
        <v>3.618152970810826</v>
      </c>
      <c r="J36" s="182"/>
      <c r="K36" s="179"/>
    </row>
    <row r="37" spans="1:9" ht="7.5" customHeight="1">
      <c r="A37" s="11"/>
      <c r="B37" s="33"/>
      <c r="C37" s="176"/>
      <c r="D37" s="177"/>
      <c r="E37" s="41"/>
      <c r="F37" s="176"/>
      <c r="G37" s="177"/>
      <c r="H37" s="177"/>
      <c r="I37" s="177"/>
    </row>
    <row r="38" spans="1:9" ht="9.75">
      <c r="A38" s="183" t="s">
        <v>530</v>
      </c>
      <c r="B38" s="33"/>
      <c r="C38" s="176"/>
      <c r="D38" s="177"/>
      <c r="E38" s="41"/>
      <c r="F38" s="176"/>
      <c r="G38" s="177"/>
      <c r="H38" s="177"/>
      <c r="I38" s="177"/>
    </row>
    <row r="39" spans="1:2" ht="5.25" customHeight="1">
      <c r="A39" s="11"/>
      <c r="B39" s="11"/>
    </row>
    <row r="40" spans="1:9" ht="10.5" thickBot="1">
      <c r="A40" s="11"/>
      <c r="B40" s="11"/>
      <c r="C40" s="11" t="s">
        <v>329</v>
      </c>
      <c r="D40" s="260" t="s">
        <v>330</v>
      </c>
      <c r="E40" s="260"/>
      <c r="F40" s="11" t="s">
        <v>329</v>
      </c>
      <c r="G40" s="260" t="s">
        <v>330</v>
      </c>
      <c r="H40" s="260"/>
      <c r="I40" s="260"/>
    </row>
    <row r="41" spans="1:10" ht="9.75">
      <c r="A41" s="184" t="s">
        <v>739</v>
      </c>
      <c r="B41" s="33"/>
      <c r="C41" s="176">
        <f>B36/B31-1</f>
        <v>0.07844391791063399</v>
      </c>
      <c r="D41" s="13">
        <f>D36/D31</f>
        <v>1.0784439179106342</v>
      </c>
      <c r="E41" s="13">
        <f>E36/E31</f>
        <v>1.0913842009741728</v>
      </c>
      <c r="F41" s="176">
        <f>E36/E31-1</f>
        <v>0.09138420097417277</v>
      </c>
      <c r="G41" s="13">
        <f>G36/G31</f>
        <v>1.0913842009741725</v>
      </c>
      <c r="H41" s="177"/>
      <c r="I41" s="13">
        <f>I36/I31</f>
        <v>1.1769966536443537</v>
      </c>
      <c r="J41" s="13"/>
    </row>
    <row r="42" spans="1:9" ht="9.75">
      <c r="A42" s="185" t="s">
        <v>740</v>
      </c>
      <c r="B42" s="40"/>
      <c r="D42" s="176">
        <f>D41^(1/5)-1</f>
        <v>0.015218476467422581</v>
      </c>
      <c r="E42" s="186" t="s">
        <v>210</v>
      </c>
      <c r="G42" s="176">
        <f>G41^(1/5)-1</f>
        <v>0.017643194316457667</v>
      </c>
      <c r="I42" s="176">
        <f>I41^(1/5)-1</f>
        <v>0.03313017332139534</v>
      </c>
    </row>
    <row r="43" spans="1:2" ht="9.75">
      <c r="A43" s="11"/>
      <c r="B43" s="40"/>
    </row>
  </sheetData>
  <sheetProtection/>
  <mergeCells count="2">
    <mergeCell ref="D40:E40"/>
    <mergeCell ref="G40:I40"/>
  </mergeCells>
  <printOptions/>
  <pageMargins left="0.75" right="0.75" top="1" bottom="1" header="0.5" footer="0.5"/>
  <pageSetup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2016-04-11T15:18:33Z</dcterms:created>
  <dcterms:modified xsi:type="dcterms:W3CDTF">2016-04-15T16:27:26Z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