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8" yWindow="1632" windowWidth="14652" windowHeight="4800" tabRatio="791" activeTab="0"/>
  </bookViews>
  <sheets>
    <sheet name="A-1" sheetId="1" r:id="rId1"/>
    <sheet name="B-1 " sheetId="2" r:id="rId2"/>
    <sheet name="B-6" sheetId="3" r:id="rId3"/>
    <sheet name="PIS and Depr Calc" sheetId="4" r:id="rId4"/>
    <sheet name="B-8 " sheetId="5" r:id="rId5"/>
    <sheet name="B-10 " sheetId="6" r:id="rId6"/>
    <sheet name="C-1" sheetId="7" r:id="rId7"/>
    <sheet name="C-4" sheetId="8" r:id="rId8"/>
    <sheet name="C-20" sheetId="9" r:id="rId9"/>
    <sheet name="C-20 Support" sheetId="10" r:id="rId10"/>
    <sheet name="C-22, p 1" sheetId="11" r:id="rId11"/>
    <sheet name="C-22, p 2" sheetId="12" r:id="rId12"/>
    <sheet name="ADIT support" sheetId="13" r:id="rId13"/>
    <sheet name="C-23" sheetId="14" r:id="rId14"/>
    <sheet name="C-44" sheetId="15" r:id="rId15"/>
    <sheet name="D-1a" sheetId="16" r:id="rId16"/>
    <sheet name="Juris Factors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#REF!</definedName>
    <definedName name="\C">#REF!</definedName>
    <definedName name="\P">'[7]Cost of Capital Worksheet'!#REF!</definedName>
    <definedName name="\Z">#REF!</definedName>
    <definedName name="_ATPRegress_Dlg_Results" localSheetId="9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9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hidden="1">'[12]ST Corrections'!#REF!</definedName>
    <definedName name="_ATPRegress_Range2" hidden="1">'[12]ST Corrections'!#REF!</definedName>
    <definedName name="_ATPRegress_Range3" hidden="1">'[12]ST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9" hidden="1">#REF!</definedName>
    <definedName name="_Fill" hidden="1">#REF!</definedName>
    <definedName name="_Key1" localSheetId="9" hidden="1">#REF!</definedName>
    <definedName name="_Key1" hidden="1">'[4]1999'!$D$9</definedName>
    <definedName name="_key2" hidden="1">#REF!</definedName>
    <definedName name="_Order1" hidden="1">255</definedName>
    <definedName name="_Order2" hidden="1">255</definedName>
    <definedName name="_Sort" localSheetId="9" hidden="1">#REF!</definedName>
    <definedName name="_Sort" hidden="1">'[4]1999'!#REF!</definedName>
    <definedName name="A-1A" localSheetId="0">'A-1'!$A$4:$P$56</definedName>
    <definedName name="Application">#REF!</definedName>
    <definedName name="B-6" localSheetId="1">'B-1 '!$A$4:$V$73</definedName>
    <definedName name="B-6">#REF!</definedName>
    <definedName name="B-7/1OF3" localSheetId="2">'B-6'!$A$4:$Q$62</definedName>
    <definedName name="B-7/1OF3">#REF!</definedName>
    <definedName name="B-7/2OF3">#REF!</definedName>
    <definedName name="B-7/3OF3">#REF!</definedName>
    <definedName name="B-9A" localSheetId="4">'B-8 '!$A$4:$R$53</definedName>
    <definedName name="B-9A">#REF!</definedName>
    <definedName name="B-9B" localSheetId="5">'B-10 '!$A$4:$R$54</definedName>
    <definedName name="B-9B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localSheetId="9" hidden="1">'[15]FERC FB6 10-27-15'!#REF!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localSheetId="9" hidden="1">'[15]FERC FB6 10-27-15'!#REF!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localSheetId="9" hidden="1">'[15]FERC FB6 10-27-15'!#REF!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UQEWHVOTL5UE4TS6N9I9SVP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localSheetId="9" hidden="1">'[15]FERC FB6 10-27-15'!#REF!</definedName>
    <definedName name="BEx1J61RRF9LJ3V3R5OY3WJ6VBWR" hidden="1">#REF!</definedName>
    <definedName name="BEx1J7E8VCGLPYU82QXVUG5N3ZAI" localSheetId="9" hidden="1">'[15]FERC FB6 10-27-15'!#REF!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localSheetId="9" hidden="1">'[15]FERC FB6 10-27-15'!#REF!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localSheetId="9" hidden="1">'[15]FERC FB6 10-27-15'!#REF!</definedName>
    <definedName name="BEx1MTRKKVCHOZ0YGID6HZ49LJTO" hidden="1">#REF!</definedName>
    <definedName name="BEx1N3CUJ3UX61X38ZAJVPEN4KMC" hidden="1">#REF!</definedName>
    <definedName name="BEx1NAEHWVVI40ROTNWROZLJD81M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PZCOY3MT63U01AGM91LSUDK6" hidden="1">#REF!</definedName>
    <definedName name="BEx1QA54J2A4I7IBQR19BTY28ZMR" hidden="1">#REF!</definedName>
    <definedName name="BEx1QMQAHG3KQUK59DVM68SWKZIZ" hidden="1">#REF!</definedName>
    <definedName name="BEx1QS4I6EOZNLQE54RT7EXOE8YP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localSheetId="9" hidden="1">'[15]FERC FB6 10-27-15'!#REF!</definedName>
    <definedName name="BEx1SVNCHNANBJIDIQVB8AFK4HAN" hidden="1">#REF!</definedName>
    <definedName name="BEx1TJ0WLS9O7KNSGIPWTYHDYI1D" localSheetId="9" hidden="1">'[15]FERC FB6 10-27-15'!#REF!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localSheetId="9" hidden="1">'[15]FERC FB6 10-27-15'!#REF!</definedName>
    <definedName name="BEx1WHPURIV3D3PTJJ359H1OP7ZV" hidden="1">#REF!</definedName>
    <definedName name="BEx1WLGP2O2VDVRJRFGH2I62VAI5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localSheetId="9" hidden="1">'[15]FERC FB6 10-27-15'!#REF!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localSheetId="9" hidden="1">'[15]FERC FB6 10-27-15'!#REF!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localSheetId="9" hidden="1">'[15]FERC FB6 10-27-15'!#REF!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localSheetId="9" hidden="1">'[15]FERC FB6 10-27-15'!#REF!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localSheetId="9" hidden="1">'[15]FERC FB6 10-27-15'!#REF!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localSheetId="9" hidden="1">'[15]FERC FB6 10-27-15'!#REF!</definedName>
    <definedName name="BEx3GEVV18SEQDI1JGY7EN6D1GT1" hidden="1">#REF!</definedName>
    <definedName name="BEx3GKFH64MKQX61S7DYTZ15JCPY" hidden="1">#REF!</definedName>
    <definedName name="BEx3GMJ1Y6UU02DLRL0QXCEKDA6C" localSheetId="9" hidden="1">'[15]FERC FB6 10-27-15'!#REF!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localSheetId="9" hidden="1">'[15]FERC FB6 10-27-15'!#REF!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localSheetId="9" hidden="1">'[15]FERC FB6 10-27-15'!#REF!</definedName>
    <definedName name="BEx3IYAH2DEBFWO8F94H4MXE3RLY" hidden="1">#REF!</definedName>
    <definedName name="BEx3IZXXSYEW50379N2EAFWO8DZV" localSheetId="9" hidden="1">'[15]FERC FB6 10-27-15'!#REF!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localSheetId="9" hidden="1">'[15]FERC FB6 10-27-15'!#REF!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localSheetId="9" hidden="1">'[15]FERC FB6 10-27-15'!#REF!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localSheetId="9" hidden="1">'[15]FERC FB6 10-27-15'!#REF!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L44EJ5QLVJMAFPN6J1V4GPU" hidden="1">#REF!</definedName>
    <definedName name="BEx3MREOFWJQEYMCMBL7ZE06NBN6" hidden="1">#REF!</definedName>
    <definedName name="BEx3NKXF7GYXHBK75UI6MDRUSU0J" localSheetId="9" hidden="1">'[15]FERC FB6 10-27-15'!#REF!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9" hidden="1">'[15]FERC FB6 10-27-15'!#REF!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localSheetId="9" hidden="1">'[15]FERC FB6 10-27-15'!#REF!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localSheetId="9" hidden="1">'[15]FERC FB6 10-27-15'!#REF!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localSheetId="9" hidden="1">'[15]FERC FB6 10-27-15'!#REF!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localSheetId="9" hidden="1">'[15]FERC FB6 10-27-15'!#REF!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Q5LCE82CJ1E3XQ4JBMAA37C" localSheetId="9" hidden="1">'[15]FERC FB6 10-27-15'!#REF!</definedName>
    <definedName name="BEx5CQ5LCE82CJ1E3XQ4JBMAA37C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localSheetId="9" hidden="1">'[15]FERC FB6 10-27-15'!#REF!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localSheetId="9" hidden="1">'[15]FERC FB6 10-27-15'!#REF!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localSheetId="9" hidden="1">'[15]FERC FB6 10-27-15'!#REF!</definedName>
    <definedName name="BEx5I244LQHZTF3XI66J8705R9XX" hidden="1">#REF!</definedName>
    <definedName name="BEx5I8PBP4LIXDGID5BP0THLO0AQ" localSheetId="9" hidden="1">'[15]FERC FB6 10-27-15'!#REF!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F3ZXLDIS8VNKDCY7ZI7H1CI" hidden="1">#REF!</definedName>
    <definedName name="BEx5JHCZJ8G6OOOW6EF3GABXKH6F" localSheetId="9" hidden="1">'[15]FERC FB6 10-27-15'!#REF!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localSheetId="9" hidden="1">'[15]FERC FB6 10-27-15'!#REF!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934AVZON26XBV721V59GSB5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localSheetId="9" hidden="1">'[15]FERC FB6 10-27-15'!#REF!</definedName>
    <definedName name="BEx5LSJ1LPUAX3ENSPECWPG4J7D1" hidden="1">#REF!</definedName>
    <definedName name="BEx5LTKQ8RQWJE4BC88OP928893U" localSheetId="9" hidden="1">'[15]FERC FB6 10-27-15'!#REF!</definedName>
    <definedName name="BEx5LTKQ8RQWJE4BC88OP928893U" hidden="1">#REF!</definedName>
    <definedName name="BEx5MB9BR71LZDG7XXQ2EO58JC5F" hidden="1">#REF!</definedName>
    <definedName name="BEx5MLQZM68YQSKARVWTTPINFQ2C" localSheetId="9" hidden="1">'[15]FERC FB6 10-27-15'!#REF!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localSheetId="9" hidden="1">'[15]FERC FB6 10-27-15'!#REF!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localSheetId="9" hidden="1">'[15]FERC FB6 10-27-15'!#REF!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4VD4T0DTGUN66N0CH4AGZ9V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localSheetId="9" hidden="1">'[15]FERC FB6 10-27-15'!#REF!</definedName>
    <definedName name="BEx79YJJLBELICW9F9FRYSCQ101L" hidden="1">#REF!</definedName>
    <definedName name="BEx79YUC7B0V77FSBGIRCY1BR4VK" hidden="1">#REF!</definedName>
    <definedName name="BEx7A06T3RC2891FUX05G3QPRAUE" localSheetId="9" hidden="1">'[15]FERC FB6 10-27-15'!#REF!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SD1I654MEDCO6GGWA95PXSC" localSheetId="9" hidden="1">'[15]FERC FB6 10-27-15'!#REF!</definedName>
    <definedName name="BEx7ASD1I654MEDCO6GGWA95PXSC" hidden="1">#REF!</definedName>
    <definedName name="BEx7AVCX9S5RJP3NSZ4QM4E6ERDT" localSheetId="9" hidden="1">'[15]FERC FB6 10-27-15'!#REF!</definedName>
    <definedName name="BEx7AVCX9S5RJP3NSZ4QM4E6ERDT" hidden="1">#REF!</definedName>
    <definedName name="BEx7AVYIGP0930MV5JEBWRYCJN68" hidden="1">#REF!</definedName>
    <definedName name="BEx7B1NJPS79AP7NTIJRES3YPWU7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localSheetId="9" hidden="1">'[15]FERC FB6 10-27-15'!#REF!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localSheetId="9" hidden="1">'[15]FERC FB6 10-27-15'!#REF!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localSheetId="9" hidden="1">'[15]FERC FB6 10-27-15'!#REF!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localSheetId="9" hidden="1">'[15]FERC FB6 10-27-15'!#REF!</definedName>
    <definedName name="BEx91QH5JRZKQP1GPN2SQMR3CKAG" hidden="1">#REF!</definedName>
    <definedName name="BEx91ROALDNHO7FI4X8L61RH4UJE" localSheetId="9" hidden="1">'[15]FERC FB6 10-27-15'!#REF!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localSheetId="9" hidden="1">'[15]FERC FB6 10-27-15'!#REF!</definedName>
    <definedName name="BEx94CKXG92OMURH41SNU6IOHK4J" hidden="1">#REF!</definedName>
    <definedName name="BEx94GXG30CIVB6ZQN3X3IK6BZXQ" localSheetId="9" hidden="1">'[15]FERC FB6 10-27-15'!#REF!</definedName>
    <definedName name="BEx94GXG30CIVB6ZQN3X3IK6BZXQ" hidden="1">#REF!</definedName>
    <definedName name="BEx94HZ5LURYM9ST744ALV6ZCKYP" localSheetId="9" hidden="1">'[15]FERC FB6 10-27-15'!#REF!</definedName>
    <definedName name="BEx94HZ5LURYM9ST744ALV6ZCKYP" hidden="1">#REF!</definedName>
    <definedName name="BEx94IQ75E90YUMWJ9N591LR7DQQ" localSheetId="9" hidden="1">'[15]FERC FB6 10-27-15'!#REF!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localSheetId="9" hidden="1">'[15]FERC FB6 10-27-15'!#REF!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localSheetId="9" hidden="1">'[15]FERC FB6 10-27-15'!#REF!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localSheetId="9" hidden="1">'[15]FERC FB6 10-27-15'!#REF!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localSheetId="9" hidden="1">'[15]FERC FB6 10-27-15'!#REF!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BE4S9184TPG4N4F1YFK0M56" hidden="1">#REF!</definedName>
    <definedName name="BEx9CCQRMYYOGIOYTOM73VKDIPS1" hidden="1">#REF!</definedName>
    <definedName name="BEx9D1BC9FT19KY0INAABNDBAMR1" hidden="1">#REF!</definedName>
    <definedName name="BEx9D9UXR8K0DXME2N75CB045C5C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localSheetId="9" hidden="1">'[15]FERC FB6 10-27-15'!#REF!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localSheetId="9" hidden="1">'[15]FERC FB6 10-27-15'!#REF!</definedName>
    <definedName name="BEx9J6CH5E7YZPER7HXEIOIKGPCA" hidden="1">#REF!</definedName>
    <definedName name="BEx9JJTZKVUJAVPTRE0RAVTEH41G" hidden="1">#REF!</definedName>
    <definedName name="BEx9JLBYK239B3F841C7YG1GT7ST" localSheetId="9" hidden="1">'[15]FERC FB6 10-27-15'!#REF!</definedName>
    <definedName name="BEx9JLBYK239B3F841C7YG1GT7ST" hidden="1">#REF!</definedName>
    <definedName name="BExAW4IIW5D0MDY6TJ3G4FOLPYIR" hidden="1">#REF!</definedName>
    <definedName name="BExAX410NB4F2XOB84OR2197H8M5" localSheetId="9" hidden="1">'[15]FERC FB6 10-27-15'!#REF!</definedName>
    <definedName name="BExAX410NB4F2XOB84OR2197H8M5" hidden="1">#REF!</definedName>
    <definedName name="BExAX46H76XGXGTD2FB7ORTZHVJF" localSheetId="9" hidden="1">'[15]FERC FB6 10-27-15'!#REF!</definedName>
    <definedName name="BExAX46H76XGXGTD2FB7ORTZHVJF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localSheetId="9" hidden="1">'[15]FERC FB6 10-27-15'!#REF!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localSheetId="9" hidden="1">'[15]FERC FB6 10-27-15'!#REF!</definedName>
    <definedName name="BExB1FKNY2UO4W5FUGFHJOA2WFGG" hidden="1">#REF!</definedName>
    <definedName name="BExB1GMD0PIDGTFBGQOPRWQSP9I4" localSheetId="9" hidden="1">'[15]FERC FB6 10-27-15'!#REF!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localSheetId="9" hidden="1">'[15]FERC FB6 10-27-15'!#REF!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localSheetId="9" hidden="1">'[15]FERC FB6 10-27-15'!#REF!</definedName>
    <definedName name="BExB2Q0VJ0MU2URO3JOVUAVHEI3V" hidden="1">#REF!</definedName>
    <definedName name="BExB30IP1DNKNQ6PZ5ERUGR5MK4Z" hidden="1">#REF!</definedName>
    <definedName name="BExB442RX0T3L6HUL6X5T21CENW6" localSheetId="9" hidden="1">'[15]FERC FB6 10-27-15'!#REF!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localSheetId="9" hidden="1">'[15]FERC FB6 10-27-15'!#REF!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localSheetId="9" hidden="1">'[15]FERC FB6 10-27-15'!#REF!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localSheetId="9" hidden="1">'[15]FERC FB6 10-27-15'!#REF!</definedName>
    <definedName name="BExB8U5N0D85YR8APKN3PPKG0FWP" hidden="1">#REF!</definedName>
    <definedName name="BExB9DHI5I2TJ2LXYPM98EE81L27" hidden="1">#REF!</definedName>
    <definedName name="BExB9Q2MZZHBGW8QQKVEYIMJBPIE" localSheetId="9" hidden="1">'[15]FERC FB6 10-27-15'!#REF!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localSheetId="9" hidden="1">'[15]FERC FB6 10-27-15'!#REF!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localSheetId="9" hidden="1">'[15]FERC FB6 10-27-15'!#REF!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localSheetId="9" hidden="1">'[15]FERC FB6 10-27-15'!#REF!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localSheetId="9" hidden="1">'[15]FERC FB6 10-27-15'!#REF!</definedName>
    <definedName name="BExCSSDG3TM6TPKS19E9QYJEELZ6" hidden="1">#REF!</definedName>
    <definedName name="BExCSZV7U67UWXL2HKJNM5W1E4OO" hidden="1">#REF!</definedName>
    <definedName name="BExCT4NSDT61OCH04Y2QIFIOP75H" localSheetId="9" hidden="1">'[15]FERC FB6 10-27-15'!#REF!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localSheetId="9" hidden="1">'[15]FERC FB6 10-27-15'!#REF!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localSheetId="9" hidden="1">'[15]FERC FB6 10-27-15'!#REF!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localSheetId="9" hidden="1">'[15]FERC FB6 10-27-15'!#REF!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localSheetId="9" hidden="1">'[15]FERC FB6 10-27-15'!#REF!</definedName>
    <definedName name="BExCYJBB52X8B3AREHCC1L5QNPX7" hidden="1">#REF!</definedName>
    <definedName name="BExCYPRC5HJE6N2XQTHCT6NXGP8N" hidden="1">#REF!</definedName>
    <definedName name="BExCYUK0I3UEXZNFDW71G6Z6D8XR" localSheetId="9" hidden="1">'[15]FERC FB6 10-27-15'!#REF!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CTY5Z38O85JV2KF50P4E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localSheetId="9" hidden="1">'[15]FERC FB6 10-27-15'!#REF!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localSheetId="9" hidden="1">'[15]FERC FB6 10-27-15'!#REF!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localSheetId="9" hidden="1">'[15]FERC FB6 10-27-15'!#REF!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localSheetId="9" hidden="1">'[15]FERC FB6 10-27-15'!#REF!</definedName>
    <definedName name="BExD4H5GQWXBS6LUL3TSP36DVO38" hidden="1">#REF!</definedName>
    <definedName name="BExD4JJSS3QDBLABCJCHD45SRNPI" localSheetId="9" hidden="1">'[15]FERC FB6 10-27-15'!#REF!</definedName>
    <definedName name="BExD4JJSS3QDBLABCJCHD45SRNPI" hidden="1">#REF!</definedName>
    <definedName name="BExD4R1I0MKF033I5LPUYIMTZ6E8" localSheetId="9" hidden="1">'[15]FERC FB6 10-27-15'!#REF!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localSheetId="9" hidden="1">'[15]FERC FB6 10-27-15'!#REF!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localSheetId="9" hidden="1">'[15]FERC FB6 10-27-15'!#REF!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localSheetId="9" hidden="1">'[15]FERC FB6 10-27-15'!#REF!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localSheetId="9" hidden="1">'[15]FERC FB6 10-27-15'!#REF!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localSheetId="9" hidden="1">'[15]FERC FB6 10-27-15'!#REF!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localSheetId="9" hidden="1">'[15]FERC FB6 10-27-15'!#REF!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localSheetId="9" hidden="1">'[15]FERC FB6 10-27-15'!#REF!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localSheetId="9" hidden="1">'[15]FERC FB6 10-27-15'!#REF!</definedName>
    <definedName name="BExERSANFNM1O7T65PC5MJ301YET" hidden="1">#REF!</definedName>
    <definedName name="BExERWCEBKQRYWRQLYJ4UCMMKTHG" localSheetId="9" hidden="1">'[15]FERC FB6 10-27-15'!#REF!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localSheetId="9" hidden="1">'[15]FERC FB6 10-27-15'!#REF!</definedName>
    <definedName name="BExEX9HWY2G6928ZVVVQF77QCM2C" hidden="1">#REF!</definedName>
    <definedName name="BExEXBQWAYKMVBRJRHB8PFCSYFVN" hidden="1">#REF!</definedName>
    <definedName name="BExEXRBZ0DI9E2UFLLKYWGN66B61" localSheetId="9" hidden="1">'[15]FERC FB6 10-27-15'!#REF!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localSheetId="9" hidden="1">'[15]FERC FB6 10-27-15'!#REF!</definedName>
    <definedName name="BExF0ZRI7W4RSLIDLHTSM0AWXO3S" hidden="1">#REF!</definedName>
    <definedName name="BExF19CT3MMZZ2T5EWMDNG3UOJ01" hidden="1">#REF!</definedName>
    <definedName name="BExF1EAPPL24809U36ARIMYRD5NF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localSheetId="9" hidden="1">'[15]FERC FB6 10-27-15'!#REF!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localSheetId="9" hidden="1">'[15]FERC FB6 10-27-15'!#REF!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localSheetId="9" hidden="1">'[15]FERC FB6 10-27-15'!#REF!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localSheetId="9" hidden="1">'[15]FERC FB6 10-27-15'!#REF!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localSheetId="9" hidden="1">'[15]FERC FB6 10-27-15'!#REF!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localSheetId="9" hidden="1">'[15]FERC FB6 10-27-15'!#REF!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localSheetId="9" hidden="1">'[15]FERC FB6 10-27-15'!#REF!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localSheetId="9" hidden="1">'[15]FERC FB6 10-27-15'!#REF!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localSheetId="9" hidden="1">'[15]FERC FB6 10-27-15'!#REF!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DDMTKZ2HBA8F9QZ7SS45OS7" hidden="1">#REF!</definedName>
    <definedName name="BExGMJDGIH0MEPC2TUSFUCY2ROTB" localSheetId="9" hidden="1">'[15]FERC FB6 10-27-15'!#REF!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localSheetId="9" hidden="1">'[15]FERC FB6 10-27-15'!#REF!</definedName>
    <definedName name="BExGNDSIMTHOCXXG6QOGR6DA8SGG" hidden="1">#REF!</definedName>
    <definedName name="BExGNN2YQ9BDAZXT2GLCSAPXKIM7" localSheetId="9" hidden="1">'[15]FERC FB6 10-27-15'!#REF!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localSheetId="9" hidden="1">'[15]FERC FB6 10-27-15'!#REF!</definedName>
    <definedName name="BExGNZO44DEG8CGIDYSEGDUQ531R" hidden="1">#REF!</definedName>
    <definedName name="BExGO2O0V6UYDY26AX8OSN72F77N" hidden="1">#REF!</definedName>
    <definedName name="BExGO2YUBOVLYHY1QSIHRE1KLAFV" localSheetId="9" hidden="1">'[15]FERC FB6 10-27-15'!#REF!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localSheetId="9" hidden="1">'[15]FERC FB6 10-27-15'!#REF!</definedName>
    <definedName name="BExGODAZKJ9EXMQZNQR5YDBSS525" hidden="1">#REF!</definedName>
    <definedName name="BExGODR8ZSMUC11I56QHSZ686XV5" hidden="1">#REF!</definedName>
    <definedName name="BExGOF977NMX3QY6AUFGKM5NGSO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localSheetId="9" hidden="1">'[15]FERC FB6 10-27-15'!#REF!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localSheetId="9" hidden="1">'[15]FERC FB6 10-27-15'!#REF!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localSheetId="9" hidden="1">'[15]FERC FB6 10-27-15'!#REF!</definedName>
    <definedName name="BExGSQY65LH1PCKKM5WHDW83F35O" hidden="1">#REF!</definedName>
    <definedName name="BExGSYW1GKISF0PMUAK3XJK9PEW9" hidden="1">#REF!</definedName>
    <definedName name="BExGT0DZJB6LSF6L693UUB9EY1VQ" localSheetId="9" hidden="1">'[15]FERC FB6 10-27-15'!#REF!</definedName>
    <definedName name="BExGT0DZJB6LSF6L693UUB9EY1VQ" hidden="1">#REF!</definedName>
    <definedName name="BExGTGVFIF8HOQXR54SK065A8M4K" hidden="1">#REF!</definedName>
    <definedName name="BExGTIYX3OWPIINOGY1E4QQYSKHP" localSheetId="9" hidden="1">'[15]FERC FB6 10-27-15'!#REF!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localSheetId="9" hidden="1">'[15]FERC FB6 10-27-15'!#REF!</definedName>
    <definedName name="BExGUDDZXFFQHAF4UZF8ZB1HO7H6" hidden="1">#REF!</definedName>
    <definedName name="BExGUIBXBRHGM97ZX6GBA4ZDQ79C" hidden="1">#REF!</definedName>
    <definedName name="BExGUM8D91UNPCOO4TKP9FGX85TF" localSheetId="9" hidden="1">'[15]FERC FB6 10-27-15'!#REF!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localSheetId="9" hidden="1">'[15]FERC FB6 10-27-15'!#REF!</definedName>
    <definedName name="BExGWEO0JDG84NYLEAV5NSOAGMJZ" hidden="1">#REF!</definedName>
    <definedName name="BExGWLEOC70Z8QAJTPT2PDHTNM4L" hidden="1">#REF!</definedName>
    <definedName name="BExGWNCXLCRTLBVMTXYJ5PHQI6SS" localSheetId="9" hidden="1">'[15]FERC FB6 10-27-15'!#REF!</definedName>
    <definedName name="BExGWNCXLCRTLBVMTXYJ5PHQI6SS" hidden="1">#REF!</definedName>
    <definedName name="BExGX6U988MCFIGDA1282F92U9AA" hidden="1">#REF!</definedName>
    <definedName name="BExGX7FTB1CKAT5HUW6H531FIY6I" localSheetId="9" hidden="1">'[15]FERC FB6 10-27-15'!#REF!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localSheetId="9" hidden="1">'[15]FERC FB6 10-27-15'!#REF!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localSheetId="9" hidden="1">'[15]FERC FB6 10-27-15'!#REF!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localSheetId="9" hidden="1">'[15]FERC FB6 10-27-15'!#REF!</definedName>
    <definedName name="BExH0WNJAKTJRCKMTX8O4KNMIIJM" hidden="1">#REF!</definedName>
    <definedName name="BExH12Y4WX542WI3ZEM15AK4UM9J" hidden="1">#REF!</definedName>
    <definedName name="BExH1FDTQXR9QQ31WDB7OPXU7MPT" localSheetId="9" hidden="1">'[15]FERC FB6 10-27-15'!#REF!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localSheetId="9" hidden="1">'[15]FERC FB6 10-27-15'!#REF!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localSheetId="9" hidden="1">'[15]FERC FB6 10-27-15'!#REF!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localSheetId="9" hidden="1">'[15]FERC FB6 10-27-15'!#REF!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localSheetId="9" hidden="1">'[15]FERC FB6 10-27-15'!#REF!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localSheetId="9" hidden="1">'[15]FERC FB6 10-27-15'!#REF!</definedName>
    <definedName name="BExINLX401ZKEGWU168DS4JUM2J6" hidden="1">#REF!</definedName>
    <definedName name="BExINMYYJO1FTV1CZF6O5XCFAMQX" localSheetId="9" hidden="1">'[15]FERC FB6 10-27-15'!#REF!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localSheetId="9" hidden="1">'[15]FERC FB6 10-27-15'!#REF!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localSheetId="9" hidden="1">'[15]FERC FB6 10-27-15'!#REF!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localSheetId="9" hidden="1">'[15]FERC FB6 10-27-15'!#REF!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localSheetId="9" hidden="1">'[15]FERC FB6 10-27-15'!#REF!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localSheetId="9" hidden="1">'[15]FERC FB6 10-27-15'!#REF!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localSheetId="9" hidden="1">'[15]FERC FB6 10-27-15'!#REF!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localSheetId="9" hidden="1">'[15]FERC FB6 10-27-15'!#REF!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localSheetId="9" hidden="1">'[15]FERC FB6 10-27-15'!#REF!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localSheetId="9" hidden="1">'[15]FERC FB6 10-27-15'!#REF!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localSheetId="9" hidden="1">'[15]FERC FB6 10-27-15'!#REF!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localSheetId="9" hidden="1">'[15]FERC FB6 10-27-15'!#REF!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localSheetId="9" hidden="1">'[15]FERC FB6 10-27-15'!#REF!</definedName>
    <definedName name="BExM9OG182RP30MY23PG49LVPZ1C" hidden="1">#REF!</definedName>
    <definedName name="BExMA64MW1S18NH8DCKPCCEI5KCB" hidden="1">#REF!</definedName>
    <definedName name="BExMALEWFUEM8Y686IT03ECURUBR" localSheetId="9" hidden="1">'[15]FERC FB6 10-27-15'!#REF!</definedName>
    <definedName name="BExMALEWFUEM8Y686IT03ECURUBR" hidden="1">#REF!</definedName>
    <definedName name="BExMAR3XSK6RSFLHP7ZX1EWGHASI" localSheetId="9" hidden="1">'[15]FERC FB6 10-27-15'!#REF!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localSheetId="9" hidden="1">'[15]FERC FB6 10-27-15'!#REF!</definedName>
    <definedName name="BExMBYPQDG9AYDQ5E8IECVFREPO6" hidden="1">#REF!</definedName>
    <definedName name="BExMC8AZUTX8LG89K2JJR7ZG62XX" hidden="1">#REF!</definedName>
    <definedName name="BExMCA96YR10V72G2R0SCIKPZLIZ" localSheetId="9" hidden="1">'[15]FERC FB6 10-27-15'!#REF!</definedName>
    <definedName name="BExMCA96YR10V72G2R0SCIKPZLIZ" hidden="1">#REF!</definedName>
    <definedName name="BExMCB5JU5I2VQDUBS4O42BTEVKI" hidden="1">#REF!</definedName>
    <definedName name="BExMCFSQFSEMPY5IXDIRKZDASDBR" localSheetId="9" hidden="1">'[15]FERC FB6 10-27-15'!#REF!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localSheetId="9" hidden="1">'[15]FERC FB6 10-27-15'!#REF!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localSheetId="9" hidden="1">'[15]FERC FB6 10-27-15'!#REF!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localSheetId="9" hidden="1">'[15]FERC FB6 10-27-15'!#REF!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localSheetId="9" hidden="1">'[15]FERC FB6 10-27-15'!#REF!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localSheetId="9" hidden="1">'[15]FERC FB6 10-27-15'!#REF!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localSheetId="9" hidden="1">'[15]FERC FB6 10-27-15'!#REF!</definedName>
    <definedName name="BExMKUN3WPECJR2XRID2R7GZRGNX" hidden="1">#REF!</definedName>
    <definedName name="BExMKZ535P011X4TNV16GCOH4H21" localSheetId="9" hidden="1">'[15]FERC FB6 10-27-15'!#REF!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localSheetId="9" hidden="1">'[15]FERC FB6 10-27-15'!#REF!</definedName>
    <definedName name="BExMLVI7UORSHM9FMO8S2EI0TMTS" hidden="1">#REF!</definedName>
    <definedName name="BExMM5UCOT2HSSN0ZIPZW55GSOVO" localSheetId="9" hidden="1">'[15]FERC FB6 10-27-15'!#REF!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localSheetId="9" hidden="1">'[15]FERC FB6 10-27-15'!#REF!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FYRMNBEPJ7H60CD5KWGNSKW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localSheetId="9" hidden="1">'[15]FERC FB6 10-27-15'!#REF!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localSheetId="9" hidden="1">'[15]FERC FB6 10-27-15'!#REF!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localSheetId="9" hidden="1">'[15]FERC FB6 10-27-15'!#REF!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BKGOKEBRXLRH70TDVHE8LGF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localSheetId="9" hidden="1">'[15]FERC FB6 10-27-15'!#REF!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68X4C8NBYPPOZE5R19C2MZG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localSheetId="9" hidden="1">'[15]FERC FB6 10-27-15'!#REF!</definedName>
    <definedName name="BExOJXEUJJ9SYRJXKYYV2NCCDT2R" hidden="1">#REF!</definedName>
    <definedName name="BExOK0EQYM9JUMAGWOUN7QDH7VMZ" localSheetId="9" hidden="1">'[15]FERC FB6 10-27-15'!#REF!</definedName>
    <definedName name="BExOK0EQYM9JUMAGWOUN7QDH7VMZ" hidden="1">#REF!</definedName>
    <definedName name="BExOK4WM9O7QNG6O57FOASI5QSN1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localSheetId="9" hidden="1">'[15]FERC FB6 10-27-15'!#REF!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localSheetId="9" hidden="1">'[15]FERC FB6 10-27-15'!#REF!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localSheetId="9" hidden="1">'[15]FERC FB6 10-27-15'!#REF!</definedName>
    <definedName name="BExQ2M841F5Z1BQYR8DG5FKK0LIU" hidden="1">#REF!</definedName>
    <definedName name="BExQ300G8I8TK45A0MVHV15422EU" localSheetId="9" hidden="1">'[15]FERC FB6 10-27-15'!#REF!</definedName>
    <definedName name="BExQ300G8I8TK45A0MVHV15422EU" hidden="1">#REF!</definedName>
    <definedName name="BExQ39R28MXSG2SEV956F0KZ20AN" localSheetId="9" hidden="1">'[15]FERC FB6 10-27-15'!#REF!</definedName>
    <definedName name="BExQ39R28MXSG2SEV956F0KZ20AN" hidden="1">#REF!</definedName>
    <definedName name="BExQ3D1P3M5Z3HLMEZ17E0BLEE4U" localSheetId="9" hidden="1">'[15]FERC FB6 10-27-15'!#REF!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localSheetId="9" hidden="1">'[15]FERC FB6 10-27-15'!#REF!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localSheetId="9" hidden="1">'[15]FERC FB6 10-27-15'!#REF!</definedName>
    <definedName name="BExQ5VEQEIJO7YY80OJTA3XRQYJ9" hidden="1">#REF!</definedName>
    <definedName name="BExQ5YUUK9FD0QGTY4WD0W90O7OL" hidden="1">#REF!</definedName>
    <definedName name="BExQ63793YQ9BH7JLCNRIATIGTRG" localSheetId="9" hidden="1">'[15]FERC FB6 10-27-15'!#REF!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localSheetId="9" hidden="1">'[15]FERC FB6 10-27-15'!#REF!</definedName>
    <definedName name="BExQ7MY3U2Z1IZ71U5LJUD00VVB4" hidden="1">#REF!</definedName>
    <definedName name="BExQ7XL2Q1GVUFL1F9KK0K0EXMWG" localSheetId="9" hidden="1">'[15]FERC FB6 10-27-15'!#REF!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localSheetId="9" hidden="1">'[15]FERC FB6 10-27-15'!#REF!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localSheetId="9" hidden="1">'[15]FERC FB6 10-27-15'!#REF!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localSheetId="9" hidden="1">'[15]FERC FB6 10-27-15'!#REF!</definedName>
    <definedName name="BExQ9M4E2ACZOWWWP1JJIQO8AHUM" hidden="1">#REF!</definedName>
    <definedName name="BExQ9UTANMJCK7LJ4OQMD6F2Q01L" hidden="1">#REF!</definedName>
    <definedName name="BExQ9ZLYHWABXAA9NJDW8ZS0UQ9P" localSheetId="9" hidden="1">'[15]FERC FB6 10-27-15'!#REF!</definedName>
    <definedName name="BExQ9ZLYHWABXAA9NJDW8ZS0UQ9P" hidden="1">#REF!</definedName>
    <definedName name="BExQA324HSCK40ENJUT9CS9EC71B" localSheetId="9" hidden="1">'[15]FERC FB6 10-27-15'!#REF!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GI92AI8T4659FO9OS501H2S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localSheetId="9" hidden="1">'[15]FERC FB6 10-27-15'!#REF!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localSheetId="9" hidden="1">'[15]FERC FB6 10-27-15'!#REF!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localSheetId="9" hidden="1">'[15]FERC FB6 10-27-15'!#REF!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localSheetId="9" hidden="1">'[15]FERC FB6 10-27-15'!#REF!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localSheetId="9" hidden="1">'[15]FERC FB6 10-27-15'!#REF!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localSheetId="9" hidden="1">'[15]FERC FB6 10-27-15'!#REF!</definedName>
    <definedName name="BExSAY9CA9TFXQ9M9FBJRGJO9T9E" hidden="1">#REF!</definedName>
    <definedName name="BExSB4JYKQ3MINI7RAYK5M8BLJDC" hidden="1">#REF!</definedName>
    <definedName name="BExSBMOS41ZRLWYLOU29V6Y7YORR" localSheetId="9" hidden="1">'[15]FERC FB6 10-27-15'!#REF!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localSheetId="9" hidden="1">'[15]FERC FB6 10-27-15'!#REF!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localSheetId="9" hidden="1">'[15]FERC FB6 10-27-15'!#REF!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localSheetId="9" hidden="1">'[15]FERC FB6 10-27-15'!#REF!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9" hidden="1">'[15]FERC FB6 10-27-15'!#REF!</definedName>
    <definedName name="BExTUY9WNSJ91GV8CP0SKJTEIV82" hidden="1">#REF!</definedName>
    <definedName name="BExTV3O3JQGQFY3SDFTMBEM08TQX" hidden="1">#REF!</definedName>
    <definedName name="BExTV67VIM8PV6KO253M4DUBJQLC" hidden="1">#REF!</definedName>
    <definedName name="BExTVELZCF2YA5L6F23BYZZR6WHF" localSheetId="9" hidden="1">'[15]FERC FB6 10-27-15'!#REF!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IX3ABJ6HLPILAXA5Q9LFO26" hidden="1">#REF!</definedName>
    <definedName name="BExTWJTIA3WUW1PUWXAOP9O8NKLZ" hidden="1">#REF!</definedName>
    <definedName name="BExTWW95OX07FNA01WF5MSSSFQLX" hidden="1">#REF!</definedName>
    <definedName name="BExTWX5J0J9QLNYZ3NQJHZBGYCNM" hidden="1">#REF!</definedName>
    <definedName name="BExTX476KI0RNB71XI5TYMANSGBG" hidden="1">#REF!</definedName>
    <definedName name="BExTXJ6HBAIXMMWKZTJNFDYVZCAY" localSheetId="9" hidden="1">'[15]FERC FB6 10-27-15'!#REF!</definedName>
    <definedName name="BExTXJ6HBAIXMMWKZTJNFDYVZCAY" hidden="1">#REF!</definedName>
    <definedName name="BExTXT812NQT8GAEGH738U29BI0D" localSheetId="9" hidden="1">'[15]FERC FB6 10-27-15'!#REF!</definedName>
    <definedName name="BExTXT812NQT8GAEGH738U29BI0D" hidden="1">#REF!</definedName>
    <definedName name="BExTXWIP2TFPTQ76NHFOB72NICRZ" hidden="1">#REF!</definedName>
    <definedName name="BExTY5T62H651VC86QM4X7E28JVA" localSheetId="9" hidden="1">'[15]FERC FB6 10-27-15'!#REF!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localSheetId="9" hidden="1">'[15]FERC FB6 10-27-15'!#REF!</definedName>
    <definedName name="BExTZO2596CBZKPI7YNA1QQNPAIJ" hidden="1">#REF!</definedName>
    <definedName name="BExTZY8TDV4U7FQL7O10G6VKWKPJ" hidden="1">#REF!</definedName>
    <definedName name="BExU02QNT4LT7H9JPUC4FXTLVGZT" localSheetId="9" hidden="1">'[15]FERC FB6 10-27-15'!#REF!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ORMFEN4WCM9S7YUY7E9WX3C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EE8BA0E70VLL6WM5F85J10Q" localSheetId="9" hidden="1">'[15]FERC FB6 10-27-15'!#REF!</definedName>
    <definedName name="BExU1EE8BA0E70VLL6WM5F85J10Q" hidden="1">#REF!</definedName>
    <definedName name="BExU1GXUTLRPJN4MRINLAPHSZQFG" hidden="1">#REF!</definedName>
    <definedName name="BExU1IL9AOHFO85BZB6S60DK3N8H" localSheetId="9" hidden="1">'[15]FERC FB6 10-27-15'!#REF!</definedName>
    <definedName name="BExU1IL9AOHFO85BZB6S60DK3N8H" hidden="1">#REF!</definedName>
    <definedName name="BExU1NOPS09CLFZL1O31RAF9BQNQ" localSheetId="9" hidden="1">'[15]FERC FB6 10-27-15'!#REF!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localSheetId="9" hidden="1">'[15]FERC FB6 10-27-15'!#REF!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localSheetId="9" hidden="1">'[15]FERC FB6 10-27-15'!#REF!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08NI96MM6BUOX5DT9LV4JWF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localSheetId="9" hidden="1">'[15]FERC FB6 10-27-15'!#REF!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localSheetId="9" hidden="1">'[15]FERC FB6 10-27-15'!#REF!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localSheetId="9" hidden="1">'[15]FERC FB6 10-27-15'!#REF!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localSheetId="9" hidden="1">'[15]FERC FB6 10-27-15'!#REF!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localSheetId="9" hidden="1">'[15]FERC FB6 10-27-15'!#REF!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4ITWL2Z4NO717HTFQNT2C4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localSheetId="9" hidden="1">'[15]FERC FB6 10-27-15'!#REF!</definedName>
    <definedName name="BExVVPFO2J7FMSRPD36909HN4BZJ" hidden="1">#REF!</definedName>
    <definedName name="BExVVQ19AQ3VCARJOC38SF7OYE9Y" hidden="1">#REF!</definedName>
    <definedName name="BExVVQ19TAECID45CS4HXT1RD3AQ" localSheetId="9" hidden="1">'[15]FERC FB6 10-27-15'!#REF!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localSheetId="9" hidden="1">'[15]FERC FB6 10-27-15'!#REF!</definedName>
    <definedName name="BExVXLX2BZ5EF2X6R41BTKRJR1NM" hidden="1">#REF!</definedName>
    <definedName name="BExVY11V7U1SAY4QKYE0PBSPD7LW" hidden="1">#REF!</definedName>
    <definedName name="BExVY1SV37DL5YU59HS4IG3VBCP4" localSheetId="9" hidden="1">'[15]FERC FB6 10-27-15'!#REF!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localSheetId="9" hidden="1">'[15]FERC FB6 10-27-15'!#REF!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localSheetId="9" hidden="1">'[15]FERC FB6 10-27-15'!#REF!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localSheetId="9" hidden="1">'[15]FERC FB6 10-27-15'!#REF!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localSheetId="9" hidden="1">'[15]FERC FB6 10-27-15'!#REF!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localSheetId="9" hidden="1">'[15]FERC FB6 10-27-15'!#REF!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localSheetId="9" hidden="1">'[15]FERC FB6 10-27-15'!#REF!</definedName>
    <definedName name="BExXQH41O5HZAH8BO6HCFY8YC3TU" hidden="1">#REF!</definedName>
    <definedName name="BExXQIRBLQSLAJTFL7224FCFUTKH" localSheetId="9" hidden="1">'[15]FERC FB6 10-27-15'!#REF!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localSheetId="9" hidden="1">'[15]FERC FB6 10-27-15'!#REF!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localSheetId="9" hidden="1">'[15]FERC FB6 10-27-15'!#REF!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09L5Y9Q4CI04ESBT9FBKMX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localSheetId="9" hidden="1">'[15]FERC FB6 10-27-15'!#REF!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4F7ET00BZ4EYY1U8S9S895U" hidden="1">#REF!</definedName>
    <definedName name="BExXXBM521DL8R4ZX7NZ3DBCUOR5" localSheetId="9" hidden="1">'[15]FERC FB6 10-27-15'!#REF!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localSheetId="9" hidden="1">'[15]FERC FB6 10-27-15'!#REF!</definedName>
    <definedName name="BExXXZQNZY6IZI45DJXJK0MQZWA7" hidden="1">#REF!</definedName>
    <definedName name="BExXY5QFG6QP94SFT3935OBM8Y4K" hidden="1">#REF!</definedName>
    <definedName name="BExXY7TYEBFXRYUYIFHTN65RJ8EW" localSheetId="9" hidden="1">'[15]FERC FB6 10-27-15'!#REF!</definedName>
    <definedName name="BExXY7TYEBFXRYUYIFHTN65RJ8EW" hidden="1">#REF!</definedName>
    <definedName name="BExXY914KO7IKNZYZO7PNCTINBIK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localSheetId="9" hidden="1">'[15]FERC FB6 10-27-15'!#REF!</definedName>
    <definedName name="BExXZOVPCEP495TQSON6PSRQ8XCY" hidden="1">#REF!</definedName>
    <definedName name="BExXZXKH7NBARQQAZM69Z57IH1MM" hidden="1">#REF!</definedName>
    <definedName name="BExY07WSDH5QEVM7BJXJK2ZRAI1O" localSheetId="9" hidden="1">'[15]FERC FB6 10-27-15'!#REF!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FILGAF9YP1XGP6PVCZD9P56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localSheetId="9" hidden="1">'[15]FERC FB6 10-27-15'!#REF!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NJKU0U25JSVTR2FZCN88234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localSheetId="9" hidden="1">'[15]FERC FB6 10-27-15'!#REF!</definedName>
    <definedName name="BExZK3FGPHH5H771U7D5XY7XBS6E" hidden="1">#REF!</definedName>
    <definedName name="BExZKHYORG3O8C772XPFHM1N8T80" localSheetId="9" hidden="1">'[15]FERC FB6 10-27-15'!#REF!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L6E4YVXRUN7ZGF2BIGIXFR8K" localSheetId="9" hidden="1">'[15]FERC FB6 10-27-15'!#REF!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UTK8AJNGCUNSO4PDKPBEUCU" localSheetId="9" hidden="1">'[15]FERC FB6 10-27-15'!#REF!</definedName>
    <definedName name="BExZPUTK8AJNGCUNSO4PDKPBEUCU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localSheetId="9" hidden="1">'[15]FERC FB6 10-27-15'!#REF!</definedName>
    <definedName name="BExZQIHTGHK7OOI2Y2PN3JYBY82I" hidden="1">#REF!</definedName>
    <definedName name="BExZQJJMGU5MHQOILGXGJPAQI5XI" localSheetId="9" hidden="1">'[15]FERC FB6 10-27-15'!#REF!</definedName>
    <definedName name="BExZQJJMGU5MHQOILGXGJPAQI5XI" hidden="1">#REF!</definedName>
    <definedName name="BExZQXBYEBN28QUH1KOVW6KKA5UM" hidden="1">#REF!</definedName>
    <definedName name="BExZQZKT146WEN8FTVZ7Y5TSB8L5" localSheetId="9" hidden="1">'[15]FERC FB6 10-27-15'!#REF!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localSheetId="9" hidden="1">'[15]FERC FB6 10-27-15'!#REF!</definedName>
    <definedName name="BExZRP1X6UVLN1UOLHH5VF4STP1O" hidden="1">#REF!</definedName>
    <definedName name="BExZRQ930U6OCYNV00CH5I0Q4LPE" hidden="1">#REF!</definedName>
    <definedName name="BExZRW8W514W8OZ72YBONYJ64GXF" localSheetId="9" hidden="1">'[15]FERC FB6 10-27-15'!#REF!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localSheetId="9" hidden="1">'[15]FERC FB6 10-27-15'!#REF!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localSheetId="9" hidden="1">'[15]FERC FB6 10-27-15'!#REF!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localSheetId="9" hidden="1">'[15]FERC FB6 10-27-15'!#REF!</definedName>
    <definedName name="BExZY02V77YJBMODJSWZOYCMPS5X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K54OTLF2YB68BHGOS27GEN" localSheetId="9" hidden="1">'[15]FERC FB6 10-27-15'!#REF!</definedName>
    <definedName name="BExZZTK54OTLF2YB68BHGOS27GEN" hidden="1">#REF!</definedName>
    <definedName name="BExZZXB3JQQG4SIZS4MRU6NNW7HI" hidden="1">#REF!</definedName>
    <definedName name="BExZZZEMIIFKMLLV4DJKX5TB9R5V" localSheetId="9" hidden="1">'[15]FERC FB6 10-27-15'!#REF!</definedName>
    <definedName name="BExZZZEMIIFKMLLV4DJKX5TB9R5V" hidden="1">#REF!</definedName>
    <definedName name="BottomUDA">#REF!</definedName>
    <definedName name="BUSelection">#REF!</definedName>
    <definedName name="C-12">'[9]REPORT'!$A$1:$AB$56</definedName>
    <definedName name="C-2" localSheetId="6">'C-1'!$A$4:$S$64</definedName>
    <definedName name="C-2">#REF!</definedName>
    <definedName name="C-38A">'C-20'!$A$4:$T$53</definedName>
    <definedName name="C-38B">'[10]REPORT'!$A$1:$N$56</definedName>
    <definedName name="C44" localSheetId="13">'C-23'!$A$4:$R$52</definedName>
    <definedName name="C44">#REF!</definedName>
    <definedName name="C-56">'[11]REPORT'!$A$1:$P$56</definedName>
    <definedName name="C-58" localSheetId="14">'C-44'!$A$4:$R$53</definedName>
    <definedName name="C-58">#REF!</definedName>
    <definedName name="C-9" localSheetId="7">'C-4'!$A$4:$R$54</definedName>
    <definedName name="C-9">#REF!</definedName>
    <definedName name="co_name_line1" localSheetId="6">#REF!</definedName>
    <definedName name="co_name_line1" localSheetId="14">#REF!</definedName>
    <definedName name="co_name_line1">#REF!</definedName>
    <definedName name="co_name_line2" localSheetId="6">#REF!</definedName>
    <definedName name="co_name_line2" localSheetId="14">#REF!</definedName>
    <definedName name="co_name_line2">#REF!</definedName>
    <definedName name="COMPRINT.XLM">#REF!</definedName>
    <definedName name="CurrentOptions">#REF!</definedName>
    <definedName name="D-1" localSheetId="15">'D-1a'!$A$4:$M$57</definedName>
    <definedName name="D-1">#REF!</definedName>
    <definedName name="DefaultPageMember1">#REF!</definedName>
    <definedName name="DefaultTitle">#REF!</definedName>
    <definedName name="DefaultUDA">#REF!</definedName>
    <definedName name="DETAIL_EST">#REF!</definedName>
    <definedName name="DF_GRID_1">#REF!</definedName>
    <definedName name="DF_NAVPANEL_13">#REF!</definedName>
    <definedName name="DF_NAVPANEL_18">#REF!</definedName>
    <definedName name="DIF_DETAIL">#REF!</definedName>
    <definedName name="DIF_SUM">#REF!</definedName>
    <definedName name="DIF_SUM_SUM">#REF!</definedName>
    <definedName name="docket_num" localSheetId="6">#REF!</definedName>
    <definedName name="docket_num" localSheetId="14">#REF!</definedName>
    <definedName name="docket_num">#REF!</definedName>
    <definedName name="Energy_Sales">#REF!</definedName>
    <definedName name="Ess_Database">#REF!</definedName>
    <definedName name="FormatSelection">#REF!</definedName>
    <definedName name="GP_COMPSTUD_Sheet">'[7]Cost of Capital Worksheet'!#REF!</definedName>
    <definedName name="GP_Cost_of_Capital">#REF!</definedName>
    <definedName name="GP_Sheet1">#REF!</definedName>
    <definedName name="HISTORICAL_YEAR_DATE" localSheetId="1">#REF!</definedName>
    <definedName name="HISTORICAL_YEAR_DATE" localSheetId="2">#REF!</definedName>
    <definedName name="HISTORICAL_YEAR_DATE" localSheetId="6">#REF!</definedName>
    <definedName name="HISTORICAL_YEAR_DATE" localSheetId="14">#REF!</definedName>
    <definedName name="HISTORICAL_YEAR_DATE" localSheetId="15">#REF!</definedName>
    <definedName name="HISTORICAL_YEAR_DATE">#REF!</definedName>
    <definedName name="HISTORICAL_YEAR_X" localSheetId="1">#REF!</definedName>
    <definedName name="HISTORICAL_YEAR_X" localSheetId="2">#REF!</definedName>
    <definedName name="HISTORICAL_YEAR_X" localSheetId="6">#REF!</definedName>
    <definedName name="HISTORICAL_YEAR_X" localSheetId="14">#REF!</definedName>
    <definedName name="HISTORICAL_YEAR_X" localSheetId="15">#REF!</definedName>
    <definedName name="HISTORICAL_YEAR_X">#REF!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jpg" localSheetId="6" hidden="1">{"detail305",#N/A,FALSE,"BI-305"}</definedName>
    <definedName name="jpg" localSheetId="14" hidden="1">{"detail305",#N/A,FALSE,"BI-305"}</definedName>
    <definedName name="jpg" localSheetId="15" hidden="1">{"detail305",#N/A,FALSE,"BI-305"}</definedName>
    <definedName name="jpg" hidden="1">{"detail305",#N/A,FALSE,"BI-305"}</definedName>
    <definedName name="keys">#REF!</definedName>
    <definedName name="KWH_Data">#REF!</definedName>
    <definedName name="LOLD">1</definedName>
    <definedName name="LOLD_Table">9</definedName>
    <definedName name="MIKE" localSheetId="6" hidden="1">{"detail305",#N/A,FALSE,"BI-305"}</definedName>
    <definedName name="MIKE" localSheetId="14" hidden="1">{"detail305",#N/A,FALSE,"BI-305"}</definedName>
    <definedName name="MIKE" localSheetId="15" hidden="1">{"detail305",#N/A,FALSE,"BI-305"}</definedName>
    <definedName name="MIKE" hidden="1">{"detail305",#N/A,FALSE,"BI-305"}</definedName>
    <definedName name="mkwh_stats1">#REF!</definedName>
    <definedName name="mkwh_stats2">#REF!</definedName>
    <definedName name="Month">#REF!</definedName>
    <definedName name="Month2">#REF!</definedName>
    <definedName name="NavPane" localSheetId="9">'[15]FERC FB6 10-27-15'!#REF!</definedName>
    <definedName name="NavPane">#REF!</definedName>
    <definedName name="Net_Generation">#REF!</definedName>
    <definedName name="Net_Income">#REF!</definedName>
    <definedName name="OldDblClickSetting">#REF!</definedName>
    <definedName name="OldOptions">#REF!</definedName>
    <definedName name="OldRMouseSetting">#REF!</definedName>
    <definedName name="Otl_Dims">#REF!</definedName>
    <definedName name="P1_">'[1]Overhauls, pg 2'!#REF!</definedName>
    <definedName name="PAGE_1_END" localSheetId="1">#REF!</definedName>
    <definedName name="PAGE_1_END" localSheetId="2">#REF!</definedName>
    <definedName name="PAGE_1_END" localSheetId="6">#REF!</definedName>
    <definedName name="PAGE_1_END" localSheetId="14">#REF!</definedName>
    <definedName name="PAGE_1_END" localSheetId="15">#REF!</definedName>
    <definedName name="PAGE_1_END">#REF!</definedName>
    <definedName name="PAGE_1_START" localSheetId="1">#REF!</definedName>
    <definedName name="PAGE_1_START" localSheetId="2">#REF!</definedName>
    <definedName name="PAGE_1_START" localSheetId="6">#REF!</definedName>
    <definedName name="PAGE_1_START" localSheetId="14">#REF!</definedName>
    <definedName name="PAGE_1_START" localSheetId="15">#REF!</definedName>
    <definedName name="PAGE_1_START">#REF!</definedName>
    <definedName name="PAGE_10_END" localSheetId="1">#REF!</definedName>
    <definedName name="PAGE_10_END" localSheetId="2">#REF!</definedName>
    <definedName name="PAGE_10_END" localSheetId="15">#REF!</definedName>
    <definedName name="PAGE_10_END">#REF!</definedName>
    <definedName name="PAGE_10_START" localSheetId="1">#REF!</definedName>
    <definedName name="PAGE_10_START" localSheetId="2">#REF!</definedName>
    <definedName name="PAGE_10_START" localSheetId="15">#REF!</definedName>
    <definedName name="PAGE_10_START">#REF!</definedName>
    <definedName name="PAGE_11_END" localSheetId="1">#REF!</definedName>
    <definedName name="PAGE_11_END" localSheetId="2">#REF!</definedName>
    <definedName name="PAGE_11_END" localSheetId="15">#REF!</definedName>
    <definedName name="PAGE_11_END">#REF!</definedName>
    <definedName name="PAGE_11_START" localSheetId="1">#REF!</definedName>
    <definedName name="PAGE_11_START" localSheetId="2">#REF!</definedName>
    <definedName name="PAGE_11_START" localSheetId="15">#REF!</definedName>
    <definedName name="PAGE_11_START">#REF!</definedName>
    <definedName name="PAGE_12_END">#REF!</definedName>
    <definedName name="PAGE_12_START">#REF!</definedName>
    <definedName name="PAGE_13_END">#REF!</definedName>
    <definedName name="PAGE_13_START">#REF!</definedName>
    <definedName name="PAGE_14_END">#REF!</definedName>
    <definedName name="PAGE_14_START">#REF!</definedName>
    <definedName name="PAGE_15_END">#REF!</definedName>
    <definedName name="PAGE_15_START">#REF!</definedName>
    <definedName name="PAGE_2_END" localSheetId="1">#REF!</definedName>
    <definedName name="PAGE_2_END" localSheetId="2">#REF!</definedName>
    <definedName name="PAGE_2_END" localSheetId="15">#REF!</definedName>
    <definedName name="PAGE_2_END">#REF!</definedName>
    <definedName name="PAGE_2_START" localSheetId="1">#REF!</definedName>
    <definedName name="PAGE_2_START" localSheetId="2">#REF!</definedName>
    <definedName name="PAGE_2_START" localSheetId="15">#REF!</definedName>
    <definedName name="PAGE_2_START">#REF!</definedName>
    <definedName name="PAGE_3_END" localSheetId="1">#REF!</definedName>
    <definedName name="PAGE_3_END" localSheetId="2">#REF!</definedName>
    <definedName name="PAGE_3_END" localSheetId="15">#REF!</definedName>
    <definedName name="PAGE_3_END">#REF!</definedName>
    <definedName name="PAGE_3_START" localSheetId="1">#REF!</definedName>
    <definedName name="PAGE_3_START" localSheetId="2">#REF!</definedName>
    <definedName name="PAGE_3_START" localSheetId="15">#REF!</definedName>
    <definedName name="PAGE_3_START">#REF!</definedName>
    <definedName name="PAGE_4_END" localSheetId="1">#REF!</definedName>
    <definedName name="PAGE_4_END" localSheetId="2">#REF!</definedName>
    <definedName name="PAGE_4_END" localSheetId="15">#REF!</definedName>
    <definedName name="PAGE_4_END">#REF!</definedName>
    <definedName name="PAGE_4_START" localSheetId="1">#REF!</definedName>
    <definedName name="PAGE_4_START" localSheetId="2">#REF!</definedName>
    <definedName name="PAGE_4_START" localSheetId="15">#REF!</definedName>
    <definedName name="PAGE_4_START">#REF!</definedName>
    <definedName name="PAGE_5_END" localSheetId="1">#REF!</definedName>
    <definedName name="PAGE_5_END" localSheetId="2">#REF!</definedName>
    <definedName name="PAGE_5_END" localSheetId="15">#REF!</definedName>
    <definedName name="PAGE_5_END">#REF!</definedName>
    <definedName name="PAGE_5_START" localSheetId="1">#REF!</definedName>
    <definedName name="PAGE_5_START" localSheetId="2">#REF!</definedName>
    <definedName name="PAGE_5_START" localSheetId="15">#REF!</definedName>
    <definedName name="PAGE_5_START">#REF!</definedName>
    <definedName name="PAGE_6_END" localSheetId="1">#REF!</definedName>
    <definedName name="PAGE_6_END" localSheetId="2">#REF!</definedName>
    <definedName name="PAGE_6_END" localSheetId="15">#REF!</definedName>
    <definedName name="PAGE_6_END">#REF!</definedName>
    <definedName name="PAGE_6_START" localSheetId="1">#REF!</definedName>
    <definedName name="PAGE_6_START" localSheetId="2">#REF!</definedName>
    <definedName name="PAGE_6_START" localSheetId="15">#REF!</definedName>
    <definedName name="PAGE_6_START">#REF!</definedName>
    <definedName name="PAGE_7_END" localSheetId="1">#REF!</definedName>
    <definedName name="PAGE_7_END" localSheetId="2">#REF!</definedName>
    <definedName name="PAGE_7_END" localSheetId="15">#REF!</definedName>
    <definedName name="PAGE_7_END">#REF!</definedName>
    <definedName name="PAGE_7_START" localSheetId="1">#REF!</definedName>
    <definedName name="PAGE_7_START" localSheetId="2">#REF!</definedName>
    <definedName name="PAGE_7_START" localSheetId="15">#REF!</definedName>
    <definedName name="PAGE_7_START">#REF!</definedName>
    <definedName name="PAGE_8_END" localSheetId="1">#REF!</definedName>
    <definedName name="PAGE_8_END" localSheetId="2">#REF!</definedName>
    <definedName name="PAGE_8_END" localSheetId="15">#REF!</definedName>
    <definedName name="PAGE_8_END">#REF!</definedName>
    <definedName name="PAGE_8_START" localSheetId="1">#REF!</definedName>
    <definedName name="PAGE_8_START" localSheetId="2">#REF!</definedName>
    <definedName name="PAGE_8_START" localSheetId="15">#REF!</definedName>
    <definedName name="PAGE_8_START">#REF!</definedName>
    <definedName name="PAGE_9_END" localSheetId="1">#REF!</definedName>
    <definedName name="PAGE_9_END" localSheetId="2">#REF!</definedName>
    <definedName name="PAGE_9_END" localSheetId="15">#REF!</definedName>
    <definedName name="PAGE_9_END">#REF!</definedName>
    <definedName name="PAGE_9_START" localSheetId="1">#REF!</definedName>
    <definedName name="PAGE_9_START" localSheetId="2">#REF!</definedName>
    <definedName name="PAGE_9_START" localSheetId="15">#REF!</definedName>
    <definedName name="PAGE_9_START">#REF!</definedName>
    <definedName name="PAGE2VIEWS">#REF!</definedName>
    <definedName name="PageDim1">#REF!</definedName>
    <definedName name="Password">#REF!</definedName>
    <definedName name="PG1" localSheetId="15">'D-1a'!$A$4:$M$57</definedName>
    <definedName name="PG1">#REF!</definedName>
    <definedName name="PGD" localSheetId="6" hidden="1">{"detail305",#N/A,FALSE,"BI-305"}</definedName>
    <definedName name="PGD" localSheetId="14" hidden="1">{"detail305",#N/A,FALSE,"BI-305"}</definedName>
    <definedName name="PGD" localSheetId="15" hidden="1">{"detail305",#N/A,FALSE,"BI-305"}</definedName>
    <definedName name="PGD" hidden="1">{"detail305",#N/A,FALSE,"BI-305"}</definedName>
    <definedName name="pig_dig5" localSheetId="9" hidden="1">{#N/A,#N/A,FALSE,"T COST";#N/A,#N/A,FALSE,"COST_FH"}</definedName>
    <definedName name="pig_dig5" hidden="1">{#N/A,#N/A,FALSE,"T COST";#N/A,#N/A,FALSE,"COST_FH"}</definedName>
    <definedName name="pig_dog" localSheetId="9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9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9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9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9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9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9" hidden="1">{#N/A,#N/A,FALSE,"INPUTDATA";#N/A,#N/A,FALSE,"SUMMARY"}</definedName>
    <definedName name="pig_dog7" hidden="1">{#N/A,#N/A,FALSE,"INPUTDATA";#N/A,#N/A,FALSE,"SUMMARY"}</definedName>
    <definedName name="pig_dog8" localSheetId="9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localSheetId="6" hidden="1">{"summary",#N/A,FALSE,"PCR DIRECTORY"}</definedName>
    <definedName name="pmm" localSheetId="14" hidden="1">{"summary",#N/A,FALSE,"PCR DIRECTORY"}</definedName>
    <definedName name="pmm" localSheetId="15" hidden="1">{"summary",#N/A,FALSE,"PCR DIRECTORY"}</definedName>
    <definedName name="pmm" hidden="1">{"summary",#N/A,FALSE,"PCR DIRECTORY"}</definedName>
    <definedName name="PMT" localSheetId="6" hidden="1">{"detail305",#N/A,FALSE,"BI-305"}</definedName>
    <definedName name="PMT" localSheetId="14" hidden="1">{"detail305",#N/A,FALSE,"BI-305"}</definedName>
    <definedName name="PMT" localSheetId="15" hidden="1">{"detail305",#N/A,FALSE,"BI-305"}</definedName>
    <definedName name="PMT" hidden="1">{"detail305",#N/A,FALSE,"BI-305"}</definedName>
    <definedName name="PMX" localSheetId="6" hidden="1">{"detail305",#N/A,FALSE,"BI-305"}</definedName>
    <definedName name="PMX" localSheetId="14" hidden="1">{"detail305",#N/A,FALSE,"BI-305"}</definedName>
    <definedName name="PMX" localSheetId="15" hidden="1">{"detail305",#N/A,FALSE,"BI-305"}</definedName>
    <definedName name="PMX" hidden="1">{"detail305",#N/A,FALSE,"BI-305"}</definedName>
    <definedName name="Prel_Estimate_for_Final">#REF!</definedName>
    <definedName name="PRELIMINARY_DETAIL_on_Summary_data">#REF!</definedName>
    <definedName name="Preliminary_Estimate">#REF!</definedName>
    <definedName name="_xlnm.Print_Area" localSheetId="0">'A-1'!$A$4:$P$56</definedName>
    <definedName name="_xlnm.Print_Area" localSheetId="12">'ADIT support'!$A$4:$I$38</definedName>
    <definedName name="_xlnm.Print_Area" localSheetId="1">'B-1 '!$A$4:$V$72</definedName>
    <definedName name="_xlnm.Print_Area" localSheetId="5">'B-10 '!$A$4:$R$54</definedName>
    <definedName name="_xlnm.Print_Area" localSheetId="2">'B-6'!$A$4:$P$61</definedName>
    <definedName name="_xlnm.Print_Area" localSheetId="4">'B-8 '!$A$4:$R$53</definedName>
    <definedName name="_xlnm.Print_Area" localSheetId="6">'C-1'!$A$4:$T$64</definedName>
    <definedName name="_xlnm.Print_Area" localSheetId="8">'C-20'!$A$4:$T$53</definedName>
    <definedName name="_xlnm.Print_Area" localSheetId="10">'C-22, p 1'!$A$4:$V$65</definedName>
    <definedName name="_xlnm.Print_Area" localSheetId="11">'C-22, p 2'!$A$4:$S$54</definedName>
    <definedName name="_xlnm.Print_Area" localSheetId="13">'C-23'!$A$1:$Q$51</definedName>
    <definedName name="_xlnm.Print_Area" localSheetId="7">'C-4'!$A$4:$R$111</definedName>
    <definedName name="_xlnm.Print_Area" localSheetId="14">'C-44'!$A$4:$Q$53</definedName>
    <definedName name="_xlnm.Print_Area" localSheetId="15">'D-1a'!#REF!</definedName>
    <definedName name="_xlnm.Print_Area" localSheetId="3">'PIS and Depr Calc'!$A$5:$O$79</definedName>
    <definedName name="_xlnm.Print_Titles" localSheetId="2">'B-6'!$4:$18</definedName>
    <definedName name="PrintArea">#REF!</definedName>
    <definedName name="PRIOR_YEAR_DATE" localSheetId="1">#REF!</definedName>
    <definedName name="PRIOR_YEAR_DATE" localSheetId="2">#REF!</definedName>
    <definedName name="PRIOR_YEAR_DATE" localSheetId="6">#REF!</definedName>
    <definedName name="PRIOR_YEAR_DATE" localSheetId="14">#REF!</definedName>
    <definedName name="PRIOR_YEAR_DATE" localSheetId="15">#REF!</definedName>
    <definedName name="PRIOR_YEAR_DATE">#REF!</definedName>
    <definedName name="PRIOR_YEAR_X" localSheetId="1">#REF!</definedName>
    <definedName name="PRIOR_YEAR_X" localSheetId="2">#REF!</definedName>
    <definedName name="PRIOR_YEAR_X" localSheetId="6">#REF!</definedName>
    <definedName name="PRIOR_YEAR_X" localSheetId="15">#REF!</definedName>
    <definedName name="PRIOR_YEAR_X">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ingOption">#REF!</definedName>
    <definedName name="rp_efoh_puf_yrs_rp_efoh_puf_yrs_List">#REF!</definedName>
    <definedName name="Rpt1_RequiredRev">#REF!</definedName>
    <definedName name="sada" localSheetId="6" hidden="1">{"summary",#N/A,FALSE,"PCR DIRECTORY"}</definedName>
    <definedName name="sada" localSheetId="14" hidden="1">{"summary",#N/A,FALSE,"PCR DIRECTORY"}</definedName>
    <definedName name="sada" localSheetId="15" hidden="1">{"summary",#N/A,FALSE,"PCR DIRECTORY"}</definedName>
    <definedName name="sada" hidden="1">{"summary",#N/A,FALSE,"PCR DIRECTORY"}</definedName>
    <definedName name="SAPBEXhrIndnt" hidden="1">"Wide"</definedName>
    <definedName name="SAPsysID" hidden="1">"708C5W7SBKP804JT78WJ0JNKI"</definedName>
    <definedName name="SAPwbID" hidden="1">"ARS"</definedName>
    <definedName name="SCHC22P1">#REF!</definedName>
    <definedName name="SCHC22P2">#REF!</definedName>
    <definedName name="Server">#REF!</definedName>
    <definedName name="SRCA">#REF!</definedName>
    <definedName name="SRCM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>#REF!</definedName>
    <definedName name="SUBSEQUENT_YEAR_DATE" localSheetId="1">#REF!</definedName>
    <definedName name="SUBSEQUENT_YEAR_DATE" localSheetId="2">#REF!</definedName>
    <definedName name="SUBSEQUENT_YEAR_DATE" localSheetId="6">#REF!</definedName>
    <definedName name="SUBSEQUENT_YEAR_DATE" localSheetId="14">#REF!</definedName>
    <definedName name="SUBSEQUENT_YEAR_DATE" localSheetId="15">#REF!</definedName>
    <definedName name="SUBSEQUENT_YEAR_DATE">#REF!</definedName>
    <definedName name="SUBSEQUENT_YEAR_X" localSheetId="1">#REF!</definedName>
    <definedName name="SUBSEQUENT_YEAR_X" localSheetId="2">#REF!</definedName>
    <definedName name="SUBSEQUENT_YEAR_X" localSheetId="6">#REF!</definedName>
    <definedName name="SUBSEQUENT_YEAR_X" localSheetId="14">#REF!</definedName>
    <definedName name="SUBSEQUENT_YEAR_X" localSheetId="15">#REF!</definedName>
    <definedName name="SUBSEQUENT_YEAR_X">#REF!</definedName>
    <definedName name="SumUDA">#REF!</definedName>
    <definedName name="TAMI" localSheetId="6" hidden="1">{"summary",#N/A,FALSE,"PCR DIRECTORY"}</definedName>
    <definedName name="TAMI" localSheetId="14" hidden="1">{"summary",#N/A,FALSE,"PCR DIRECTORY"}</definedName>
    <definedName name="TAMI" localSheetId="15" hidden="1">{"summary",#N/A,FALSE,"PCR DIRECTORY"}</definedName>
    <definedName name="TAMI" hidden="1">{"summary",#N/A,FALSE,"PCR DIRECTORY"}</definedName>
    <definedName name="test" localSheetId="6" hidden="1">{"detail305",#N/A,FALSE,"BI-305"}</definedName>
    <definedName name="test" localSheetId="14" hidden="1">{"detail305",#N/A,FALSE,"BI-305"}</definedName>
    <definedName name="test" localSheetId="15" hidden="1">{"detail305",#N/A,FALSE,"BI-305"}</definedName>
    <definedName name="test" hidden="1">{"detail305",#N/A,FALSE,"BI-305"}</definedName>
    <definedName name="TEST_YEAR_DATE" localSheetId="1">#REF!</definedName>
    <definedName name="TEST_YEAR_DATE" localSheetId="2">#REF!</definedName>
    <definedName name="TEST_YEAR_DATE" localSheetId="6">#REF!</definedName>
    <definedName name="TEST_YEAR_DATE" localSheetId="14">#REF!</definedName>
    <definedName name="TEST_YEAR_DATE" localSheetId="15">#REF!</definedName>
    <definedName name="TEST_YEAR_DATE">#REF!</definedName>
    <definedName name="TEST_YEAR_X" localSheetId="1">#REF!</definedName>
    <definedName name="TEST_YEAR_X" localSheetId="2">#REF!</definedName>
    <definedName name="TEST_YEAR_X" localSheetId="6">#REF!</definedName>
    <definedName name="TEST_YEAR_X" localSheetId="14">#REF!</definedName>
    <definedName name="TEST_YEAR_X" localSheetId="15">#REF!</definedName>
    <definedName name="TEST_YEAR_X">#REF!</definedName>
    <definedName name="Total_Co">#REF!</definedName>
    <definedName name="User">#REF!</definedName>
    <definedName name="UserPageMember1">#REF!</definedName>
    <definedName name="UserParameters">#REF!</definedName>
    <definedName name="wrn.ALL." localSheetId="9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9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9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9" hidden="1">{#N/A,#N/A,FALSE,"T COST";#N/A,#N/A,FALSE,"COST_FH"}</definedName>
    <definedName name="wrn.COST." hidden="1">{#N/A,#N/A,FALSE,"T COST";#N/A,#N/A,FALSE,"COST_FH"}</definedName>
    <definedName name="wrn.Engr._.Summary." localSheetId="9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9" hidden="1">{#N/A,#N/A,FALSE,"INPUTDATA";#N/A,#N/A,FALSE,"SUMMARY"}</definedName>
    <definedName name="wrn.Exec._.Summary." hidden="1">{#N/A,#N/A,FALSE,"INPUTDATA";#N/A,#N/A,FALSE,"SUMMARY"}</definedName>
    <definedName name="wrn.SUM._.OF._.UNIT._.3." localSheetId="9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xpg" localSheetId="6" hidden="1">{"detail305",#N/A,FALSE,"BI-305"}</definedName>
    <definedName name="xpg" localSheetId="14" hidden="1">{"detail305",#N/A,FALSE,"BI-305"}</definedName>
    <definedName name="xpg" localSheetId="15" hidden="1">{"detail305",#N/A,FALSE,"BI-305"}</definedName>
    <definedName name="xpg" hidden="1">{"detail305",#N/A,FALSE,"BI-305"}</definedName>
    <definedName name="xxx.detail" localSheetId="6" hidden="1">{"detail305",#N/A,FALSE,"BI-305"}</definedName>
    <definedName name="xxx.detail" localSheetId="9" hidden="1">{"detail305",#N/A,FALSE,"BI-305"}</definedName>
    <definedName name="xxx.detail" localSheetId="14" hidden="1">{"detail305",#N/A,FALSE,"BI-305"}</definedName>
    <definedName name="xxx.detail" localSheetId="15" hidden="1">{"detail305",#N/A,FALSE,"BI-305"}</definedName>
    <definedName name="xxx.detail" hidden="1">{"detail305",#N/A,FALSE,"BI-305"}</definedName>
    <definedName name="xxx.directory" localSheetId="6" hidden="1">{"summary",#N/A,FALSE,"PCR DIRECTORY"}</definedName>
    <definedName name="xxx.directory" localSheetId="9" hidden="1">{"summary",#N/A,FALSE,"PCR DIRECTORY"}</definedName>
    <definedName name="xxx.directory" localSheetId="14" hidden="1">{"summary",#N/A,FALSE,"PCR DIRECTORY"}</definedName>
    <definedName name="xxx.directory" localSheetId="15" hidden="1">{"summary",#N/A,FALSE,"PCR DIRECTORY"}</definedName>
    <definedName name="xxx.directory" hidden="1">{"summary",#N/A,FALSE,"PCR DIRECTORY"}</definedName>
    <definedName name="Year">#REF!</definedName>
    <definedName name="Year2">#REF!</definedName>
    <definedName name="zzz" localSheetId="6" hidden="1">{"detail305",#N/A,FALSE,"BI-305"}</definedName>
    <definedName name="zzz" localSheetId="14" hidden="1">{"detail305",#N/A,FALSE,"BI-305"}</definedName>
    <definedName name="zzz" localSheetId="15" hidden="1">{"detail305",#N/A,FALSE,"BI-305"}</definedName>
    <definedName name="zzz" hidden="1">{"detail305",#N/A,FALSE,"BI-305"}</definedName>
  </definedNames>
  <calcPr fullCalcOnLoad="1"/>
</workbook>
</file>

<file path=xl/sharedStrings.xml><?xml version="1.0" encoding="utf-8"?>
<sst xmlns="http://schemas.openxmlformats.org/spreadsheetml/2006/main" count="1133" uniqueCount="588">
  <si>
    <t xml:space="preserve">Schedule </t>
  </si>
  <si>
    <t>A-1</t>
  </si>
  <si>
    <t>FLORIDA PUBLIC SERVICE COMMISSION</t>
  </si>
  <si>
    <t>EXPLANATION:</t>
  </si>
  <si>
    <t>Provide the calculation of the requested</t>
  </si>
  <si>
    <t>Type of Data Shown:</t>
  </si>
  <si>
    <t>Line</t>
  </si>
  <si>
    <t>No</t>
  </si>
  <si>
    <t>Description</t>
  </si>
  <si>
    <t>Source</t>
  </si>
  <si>
    <t>Schedule B-1</t>
  </si>
  <si>
    <t>Schedule C-1</t>
  </si>
  <si>
    <t>Schedule C-44</t>
  </si>
  <si>
    <t>Supporting Schedules:</t>
  </si>
  <si>
    <t>Recap Schedules:</t>
  </si>
  <si>
    <t>B-1, C-1, D-1a, C-44</t>
  </si>
  <si>
    <t>full revenue requirements increase for the</t>
  </si>
  <si>
    <t xml:space="preserve">Schedule B-1 </t>
  </si>
  <si>
    <t>ADJUSTED RATE BASE</t>
  </si>
  <si>
    <t xml:space="preserve">        Page 1 of 1</t>
  </si>
  <si>
    <t>FLORIDA POWER &amp; LIGHT COMPANY AND SUBSIDIARIES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</si>
  <si>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</si>
  <si>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</si>
  <si>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</si>
  <si>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</si>
  <si>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</si>
  <si>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</si>
  <si>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</si>
  <si>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</si>
  <si>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</si>
  <si>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</si>
  <si>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ACCUMULATED</t>
  </si>
  <si>
    <t>PROVISION FOR</t>
  </si>
  <si>
    <t>NET PLANT</t>
  </si>
  <si>
    <t>PLANT</t>
  </si>
  <si>
    <t>NET</t>
  </si>
  <si>
    <t>WORKING</t>
  </si>
  <si>
    <t>OTHER</t>
  </si>
  <si>
    <t>PLANT IN</t>
  </si>
  <si>
    <t>DEPRECIATION &amp;</t>
  </si>
  <si>
    <t>IN SERVICE</t>
  </si>
  <si>
    <t>CWIP</t>
  </si>
  <si>
    <t>HELD FOR</t>
  </si>
  <si>
    <t>NUCLEAR FUEL</t>
  </si>
  <si>
    <t>UTILITY</t>
  </si>
  <si>
    <t>CAPITAL</t>
  </si>
  <si>
    <t>RATE BASE</t>
  </si>
  <si>
    <t>TOTAL</t>
  </si>
  <si>
    <t>No.</t>
  </si>
  <si>
    <t>SERVICE</t>
  </si>
  <si>
    <t>AMORTIZATION</t>
  </si>
  <si>
    <t>(1 - 2)</t>
  </si>
  <si>
    <t>FUTURE USE</t>
  </si>
  <si>
    <t>ALLOWANCE</t>
  </si>
  <si>
    <t>ITEMS</t>
  </si>
  <si>
    <t>UTILITY PER BOOK</t>
  </si>
  <si>
    <t>COMMISSION ADJUSTMENTS</t>
  </si>
  <si>
    <t>COMPANY ADJUSTMENTS</t>
  </si>
  <si>
    <t>TOTAL ADJUSTMENTS</t>
  </si>
  <si>
    <t xml:space="preserve">Supporting Schedules: </t>
  </si>
  <si>
    <t xml:space="preserve">ADJUSTED JURISDICTIONAL NET OPERATING INCOME </t>
  </si>
  <si>
    <t xml:space="preserve">EXPLANATION: </t>
  </si>
  <si>
    <t>Provide the calculation of jurisdictional net operating</t>
  </si>
  <si>
    <t>($000)</t>
  </si>
  <si>
    <t>Adjusted</t>
  </si>
  <si>
    <t>Non-</t>
  </si>
  <si>
    <t>Total</t>
  </si>
  <si>
    <t>Jurisdictional</t>
  </si>
  <si>
    <t>Total Company</t>
  </si>
  <si>
    <t>Electric</t>
  </si>
  <si>
    <t>Amount</t>
  </si>
  <si>
    <t>Adjustments</t>
  </si>
  <si>
    <t>Per Books</t>
  </si>
  <si>
    <t>Utility</t>
  </si>
  <si>
    <t>Factor</t>
  </si>
  <si>
    <t>Operating Revenues:</t>
  </si>
  <si>
    <t xml:space="preserve">  Sales of Electricity</t>
  </si>
  <si>
    <t xml:space="preserve">  Other Operating Revenues</t>
  </si>
  <si>
    <t>Total Operating Revenues</t>
  </si>
  <si>
    <t/>
  </si>
  <si>
    <t xml:space="preserve">  Operation &amp; Maintenance:</t>
  </si>
  <si>
    <t xml:space="preserve">    Fuel </t>
  </si>
  <si>
    <t xml:space="preserve">    Purchased Power</t>
  </si>
  <si>
    <t xml:space="preserve">    Other</t>
  </si>
  <si>
    <t xml:space="preserve">  Depreciation &amp; Amortization</t>
  </si>
  <si>
    <t xml:space="preserve">  Decommissioning Expense</t>
  </si>
  <si>
    <t xml:space="preserve">  Taxes Other Than Income Taxes</t>
  </si>
  <si>
    <t xml:space="preserve">  Income Taxes</t>
  </si>
  <si>
    <t xml:space="preserve">  Deferred Income Taxes-Net</t>
  </si>
  <si>
    <t xml:space="preserve">  Investment Tax Credit-Net</t>
  </si>
  <si>
    <t xml:space="preserve">  (Gain)/Loss on Disposal of Plant</t>
  </si>
  <si>
    <t>Total Operating Expenses</t>
  </si>
  <si>
    <t>C-4</t>
  </si>
  <si>
    <t xml:space="preserve"> </t>
  </si>
  <si>
    <t>Schedule D-1a</t>
  </si>
  <si>
    <t>COST OF CAPITAL - 13-MONTH AVERAGE</t>
  </si>
  <si>
    <t>Provide the company's 13-month average cost of capital for</t>
  </si>
  <si>
    <t>Company Total</t>
  </si>
  <si>
    <t>Specific</t>
  </si>
  <si>
    <t>Pro Rata</t>
  </si>
  <si>
    <t>System</t>
  </si>
  <si>
    <t>Ratio</t>
  </si>
  <si>
    <t>Cost</t>
  </si>
  <si>
    <t>Weighted</t>
  </si>
  <si>
    <t>Class of Capital</t>
  </si>
  <si>
    <t>Capital Structure</t>
  </si>
  <si>
    <t>Rate</t>
  </si>
  <si>
    <t>Cost Rate</t>
  </si>
  <si>
    <t>LONG TERM DEBT</t>
  </si>
  <si>
    <t>SHORT TERM DEBT</t>
  </si>
  <si>
    <t>PREFERRED STOCK</t>
  </si>
  <si>
    <t>COMMON EQUITY</t>
  </si>
  <si>
    <t>CUSTOMER DEPOSITS</t>
  </si>
  <si>
    <t>DEFERRED TAXES</t>
  </si>
  <si>
    <t>INVESTMENT CREDITS</t>
  </si>
  <si>
    <t xml:space="preserve">          Page1 of 1</t>
  </si>
  <si>
    <t>REVENUE EXPANSION FACTOR</t>
  </si>
  <si>
    <t>COMPANY:</t>
  </si>
  <si>
    <t>SEPARATION FACTOR (See Note)</t>
  </si>
  <si>
    <t>JURISDICTIONAL UTILITY</t>
  </si>
  <si>
    <t>JURISDICTIONAL ADJ UTILITY</t>
  </si>
  <si>
    <t>Net Operating Income (Loss)</t>
  </si>
  <si>
    <t>N/A</t>
  </si>
  <si>
    <t>NOTES:</t>
  </si>
  <si>
    <t>($000) where applicable</t>
  </si>
  <si>
    <t>B-6</t>
  </si>
  <si>
    <t>(See Note 1)</t>
  </si>
  <si>
    <t>COMPANY: FLORIDA POWER &amp; LIGHT COMPANY AND SUBSIDIARIES</t>
  </si>
  <si>
    <t>Provide a schedule of the 13-month average adjusted rate</t>
  </si>
  <si>
    <t>on Schedule B-2.</t>
  </si>
  <si>
    <t>TRANSMISSION</t>
  </si>
  <si>
    <t>Schedule C-4</t>
  </si>
  <si>
    <t>JURISDICTIONAL SEPARATION FACTORS - NET OPERATING INCOME</t>
  </si>
  <si>
    <t>Provide jurisdictional factors for net operating income for the</t>
  </si>
  <si>
    <t>Account</t>
  </si>
  <si>
    <t>FPSC</t>
  </si>
  <si>
    <t>Separation</t>
  </si>
  <si>
    <t>Title</t>
  </si>
  <si>
    <t>Company</t>
  </si>
  <si>
    <t>OTHER POWER GENERATION</t>
  </si>
  <si>
    <t>546</t>
  </si>
  <si>
    <t>OTHER POWER - OPERATION SUPERVISION &amp; ENGINEERING</t>
  </si>
  <si>
    <t>548</t>
  </si>
  <si>
    <t>OTHER POWER - GENERATION EXPENSES</t>
  </si>
  <si>
    <t>549</t>
  </si>
  <si>
    <t>OTHER POWER - MISC OTHER POWER GENERATION EXPENSES</t>
  </si>
  <si>
    <t>551</t>
  </si>
  <si>
    <t>OTHER POWER - MAINTENANCE SUPERVISION &amp; ENGINEERING</t>
  </si>
  <si>
    <t>552</t>
  </si>
  <si>
    <t>OTHER POWER - MAINTENANCE OF STRUCTURES</t>
  </si>
  <si>
    <t>553</t>
  </si>
  <si>
    <t>OTHER POWER - MAINTENANCE GENERATING &amp; ELECTRIC PLANT</t>
  </si>
  <si>
    <t>554</t>
  </si>
  <si>
    <t>OTHER POWER - MAINTENANCE MISC OTHER POWER GENERATION</t>
  </si>
  <si>
    <t>560 - 573</t>
  </si>
  <si>
    <t>C-1</t>
  </si>
  <si>
    <t>ADMINISTRATIVE &amp; GENERAL</t>
  </si>
  <si>
    <t>924</t>
  </si>
  <si>
    <t>A&amp;G EXP - PROPERTY INSURANCE</t>
  </si>
  <si>
    <t>925</t>
  </si>
  <si>
    <t>A&amp;G EXP - INJURIES AND DAMAGES</t>
  </si>
  <si>
    <t>926</t>
  </si>
  <si>
    <t>A&amp;G EXP - EMP PENSIONS &amp; BENEFITS</t>
  </si>
  <si>
    <t>TOTAL O&amp;M EXPENSES</t>
  </si>
  <si>
    <t>403 &amp; 404</t>
  </si>
  <si>
    <t>OTHER PROD DEPRECIATION</t>
  </si>
  <si>
    <t>TRANSMISSION DEPRECIATION</t>
  </si>
  <si>
    <t>TOTAL DEPREC &amp; AMORT</t>
  </si>
  <si>
    <t>TAXES OTH THAN INC TAX</t>
  </si>
  <si>
    <t>408</t>
  </si>
  <si>
    <t>TAX OTH TH INC TAX - REAL &amp; PERS PROPERTY TAX</t>
  </si>
  <si>
    <t>TAX OTH TH INC TAX - FEDERAL UNEMPLOYMENT TAXES</t>
  </si>
  <si>
    <t>TAX OTH TH INC TAX - STATE UNEMPLOYMENT TAXES</t>
  </si>
  <si>
    <t>TAX OTH TH INC TAX - FICA (SOCIAL SECURITY)</t>
  </si>
  <si>
    <t>OPERATING INCOME TAXES</t>
  </si>
  <si>
    <t>409</t>
  </si>
  <si>
    <t>INCOME TAXES - UTILITY OPER INCOME - CURRENT FEDERAL</t>
  </si>
  <si>
    <t>INCOME TAXES - UTILITY OPER INCOME - CURRENT STATE</t>
  </si>
  <si>
    <t>410</t>
  </si>
  <si>
    <t>INCOME TAXES - DEFERRED FEDERAL</t>
  </si>
  <si>
    <t>411</t>
  </si>
  <si>
    <t>INCOME TAXES - DEFERRED STATE</t>
  </si>
  <si>
    <t>NET OPERATING INCOME</t>
  </si>
  <si>
    <t xml:space="preserve">        EXPLANATION: </t>
  </si>
  <si>
    <t xml:space="preserve">Provide the calculation of the revenue expansion factor for </t>
  </si>
  <si>
    <t>Witness: Kim Ousdahl</t>
  </si>
  <si>
    <t>Percent</t>
  </si>
  <si>
    <t xml:space="preserve">  1.</t>
  </si>
  <si>
    <t>Revenue Requirement</t>
  </si>
  <si>
    <t xml:space="preserve">  2.</t>
  </si>
  <si>
    <t>Gross Receipts Tax Rate</t>
  </si>
  <si>
    <t xml:space="preserve">  3.</t>
  </si>
  <si>
    <t>Regulatory Assessment Rate</t>
  </si>
  <si>
    <t xml:space="preserve">  4.</t>
  </si>
  <si>
    <t>Bad Debt Rate</t>
  </si>
  <si>
    <t xml:space="preserve">  5.</t>
  </si>
  <si>
    <t>Net Before Income Taxes</t>
  </si>
  <si>
    <t>(1) - (2) - (3) - (4)</t>
  </si>
  <si>
    <t xml:space="preserve">  6.</t>
  </si>
  <si>
    <t>State Income Tax Rate</t>
  </si>
  <si>
    <t xml:space="preserve">  7.</t>
  </si>
  <si>
    <t>State Income Tax (5) x (6)</t>
  </si>
  <si>
    <t xml:space="preserve">  8.</t>
  </si>
  <si>
    <t>Net Before Federal Income Tax (5) - (7)</t>
  </si>
  <si>
    <t xml:space="preserve">  9.</t>
  </si>
  <si>
    <t>Federal Income Tax Rate</t>
  </si>
  <si>
    <t xml:space="preserve"> 10.</t>
  </si>
  <si>
    <t>Federal Income Tax (8) x (9)</t>
  </si>
  <si>
    <t xml:space="preserve"> 11.</t>
  </si>
  <si>
    <t>Revenue Expansion Factor (8) - (10)</t>
  </si>
  <si>
    <t xml:space="preserve"> 12.</t>
  </si>
  <si>
    <t>Net Operating Income Multiplier</t>
  </si>
  <si>
    <t>(100% / Line 11)</t>
  </si>
  <si>
    <t xml:space="preserve">       Page 1 of 1</t>
  </si>
  <si>
    <t>Witness:  Kim Ousdahl</t>
  </si>
  <si>
    <t>First Year Annualized Revenue Requirement</t>
  </si>
  <si>
    <t>Schedule B-10</t>
  </si>
  <si>
    <t>MONTHLY RESERVE BALANCES TEST YEAR - 13 MONTHS</t>
  </si>
  <si>
    <t xml:space="preserve">   EXPLANATION: </t>
  </si>
  <si>
    <t>Provide the monthly reserve balances for each account or</t>
  </si>
  <si>
    <t>sub-account to which an individual depreciation rate is applied</t>
  </si>
  <si>
    <t>Witness: Robert E. Barrett, Jr.</t>
  </si>
  <si>
    <t xml:space="preserve">  ($000)</t>
  </si>
  <si>
    <t>Beginning</t>
  </si>
  <si>
    <t>Ending</t>
  </si>
  <si>
    <t>Sub-account</t>
  </si>
  <si>
    <t>Balance</t>
  </si>
  <si>
    <t>13-Month</t>
  </si>
  <si>
    <t>Number</t>
  </si>
  <si>
    <t>Average</t>
  </si>
  <si>
    <t>TOTAL OTHER PRODUCTION</t>
  </si>
  <si>
    <t>TOTAL DEPRECIABLE RESERVE BALANCE</t>
  </si>
  <si>
    <t>MISCELLANEOUS INTANGIBLES</t>
  </si>
  <si>
    <t>TOTAL RESERVE BALANCE</t>
  </si>
  <si>
    <t>B-8</t>
  </si>
  <si>
    <t>Schedule B-8</t>
  </si>
  <si>
    <t>MONTHLY PLANT BALANCES TEST YEAR - 13 MONTHS</t>
  </si>
  <si>
    <t>Provide the monthly plant balances for each account or</t>
  </si>
  <si>
    <t>sub-account to which an individual depreciation rate is</t>
  </si>
  <si>
    <t>applied.  These balances should be the ones used to</t>
  </si>
  <si>
    <t xml:space="preserve">compute the monthly depreciation expenses for the </t>
  </si>
  <si>
    <t>TOTAL DEPRECIABLE PLANT BALANCE</t>
  </si>
  <si>
    <t>NON-DEPRECIABLE PROPERTY</t>
  </si>
  <si>
    <t>TOTAL PLANT BALANCE</t>
  </si>
  <si>
    <t>B-10</t>
  </si>
  <si>
    <t>Line 1 x Line 2</t>
  </si>
  <si>
    <t>Line 3 - Line 4</t>
  </si>
  <si>
    <t>Line 5 x Line 7</t>
  </si>
  <si>
    <t>Totals may not add due to rounding.</t>
  </si>
  <si>
    <t>COMPANY:  FLORIDA POWER &amp; LIGHT COMPANY</t>
  </si>
  <si>
    <t xml:space="preserve">                    AND SUBSIDIARIES</t>
  </si>
  <si>
    <t>Line 4/Line 1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</si>
  <si>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</si>
  <si>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</si>
  <si>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</si>
  <si>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</si>
  <si>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</si>
  <si>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</si>
  <si>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</si>
  <si>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</si>
  <si>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</si>
  <si>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DESCRIPTION</t>
  </si>
  <si>
    <t>(2)-(3)</t>
  </si>
  <si>
    <t>(4)x(5)</t>
  </si>
  <si>
    <t>(6)+(7)</t>
  </si>
  <si>
    <t>Operating Expenses (See Note 2):</t>
  </si>
  <si>
    <t>Note 2:  Data does not include clause recoverable expenses such as fuel, environmental, and security.</t>
  </si>
  <si>
    <t>Totals may not add due to rounding</t>
  </si>
  <si>
    <t>Schedule B-6</t>
  </si>
  <si>
    <t>JURISDICTIONAL SEPARATION FACTORS - RATE BASE</t>
  </si>
  <si>
    <t>Provide a development of jurisdictional separation</t>
  </si>
  <si>
    <t>factors for rate base for the annualized costs of the</t>
  </si>
  <si>
    <t xml:space="preserve">                            AND SUBSIDIARIES</t>
  </si>
  <si>
    <t>(See Note)</t>
  </si>
  <si>
    <t>ELECTRIC PLANT IN SERVICE PRODUCTION - OTHER</t>
  </si>
  <si>
    <t>ELECTRIC PLANT IN SERVICE TRANSMISSION</t>
  </si>
  <si>
    <t>ACCUM PROVISION DEPRECIATION - OTHER</t>
  </si>
  <si>
    <t>Supporting Schedules:   B-8,  B-10</t>
  </si>
  <si>
    <t>B-1</t>
  </si>
  <si>
    <t>ACCUM PROVISION DEPRECIATION - TRANSMISSION</t>
  </si>
  <si>
    <t>OTHER RATE BASE ITEMS</t>
  </si>
  <si>
    <t>TOTAL RATE BASE</t>
  </si>
  <si>
    <t>Note 2:  The amount show as Other Rate Base Items reflects the deferred income taxes which are included in rate base for the calculation of the revenue requirements</t>
  </si>
  <si>
    <t xml:space="preserve">for the need determination.  </t>
  </si>
  <si>
    <t>Robert E. Barrett, Jr.</t>
  </si>
  <si>
    <t>Page 1 of 1</t>
  </si>
  <si>
    <t xml:space="preserve">                   AND SUBSIDIARIES</t>
  </si>
  <si>
    <t>C-20, C-22</t>
  </si>
  <si>
    <t>Schedule C-20</t>
  </si>
  <si>
    <t>TAXES OTHER THAN INCOME TAXES</t>
  </si>
  <si>
    <t>Provide a schedule of taxes other than income taxes for</t>
  </si>
  <si>
    <t xml:space="preserve">                 Jurisdictional</t>
  </si>
  <si>
    <t>Tax</t>
  </si>
  <si>
    <t>Amount Charged to</t>
  </si>
  <si>
    <t xml:space="preserve">      Type of Tax</t>
  </si>
  <si>
    <t>Basis</t>
  </si>
  <si>
    <t>Operating Expenses</t>
  </si>
  <si>
    <t>($)</t>
  </si>
  <si>
    <t>Federal Unemployment</t>
  </si>
  <si>
    <t>State Unemployment</t>
  </si>
  <si>
    <t>FICA</t>
  </si>
  <si>
    <t>Federal Vehicle</t>
  </si>
  <si>
    <t>State Intangible</t>
  </si>
  <si>
    <t>Utility Assessment Fee</t>
  </si>
  <si>
    <t>Property</t>
  </si>
  <si>
    <t>Gross Receipts</t>
  </si>
  <si>
    <t>Franchise Fee</t>
  </si>
  <si>
    <t>Occupational License</t>
  </si>
  <si>
    <t>Other (Specify)</t>
  </si>
  <si>
    <t>SCHEDULE C-22</t>
  </si>
  <si>
    <t>STATE AND FEDERAL INCOME TAX CALCULATION</t>
  </si>
  <si>
    <t xml:space="preserve">     PAGE 1 OF 2</t>
  </si>
  <si>
    <t xml:space="preserve">COMPANY: </t>
  </si>
  <si>
    <t>CURRENT TAX</t>
  </si>
  <si>
    <t>DEFERRED TAX</t>
  </si>
  <si>
    <t>LINE</t>
  </si>
  <si>
    <t>NO.</t>
  </si>
  <si>
    <t>STATE</t>
  </si>
  <si>
    <t>FEDERAL</t>
  </si>
  <si>
    <t>NET UTILITY OPERATING INCOME</t>
  </si>
  <si>
    <t xml:space="preserve">  $</t>
  </si>
  <si>
    <t>ADD INCOME TAX ACCOUNTS</t>
  </si>
  <si>
    <t>TAXABLE INCOME PER BOOKS</t>
  </si>
  <si>
    <t>TEMPORARY ADJUSTMENTS TO TAXABLE INCOME (LIST)</t>
  </si>
  <si>
    <t xml:space="preserve">     LESS:  TAX DEPRECIATION</t>
  </si>
  <si>
    <t>TOTAL TEMPORARY DIFFERENCES</t>
  </si>
  <si>
    <t>PERMANENT ADJUSTMENTS TO TAXABLE INCOME (LIST)</t>
  </si>
  <si>
    <t>TOTAL PERMANENT ADJUSTMENTS</t>
  </si>
  <si>
    <t>ADJUSTMENTS TO STATE INCOME TAX (LIST)</t>
  </si>
  <si>
    <t>TOTAL ADJUSTMENTS TO STATE INCOME TAX</t>
  </si>
  <si>
    <t>STATE INCOME TAX</t>
  </si>
  <si>
    <t xml:space="preserve">SUPPORTING SCHEDULES:  </t>
  </si>
  <si>
    <t>C-23</t>
  </si>
  <si>
    <t xml:space="preserve">RECAP SCHEDULES:  </t>
  </si>
  <si>
    <t>FEDERAL INCOME TAX (35% OR APPLICABLE RATE)</t>
  </si>
  <si>
    <t>ADJUSTMENTS TO FEDERAL INCOME TAX</t>
  </si>
  <si>
    <t>ORIGINATING ITC</t>
  </si>
  <si>
    <t>WRITE OFF OF EXCESS DEFERRED TAXES</t>
  </si>
  <si>
    <t>OTHER ADJUSTMENTS (LIST)</t>
  </si>
  <si>
    <t xml:space="preserve">TOTAL ADJUSTMENTS TO FEDERAL INCOME TAX </t>
  </si>
  <si>
    <t xml:space="preserve">FEDERAL INCOME TAX </t>
  </si>
  <si>
    <t>ITC AMORTIZATION</t>
  </si>
  <si>
    <t>SUMMARY OF INCOME TAX EXPENSE:</t>
  </si>
  <si>
    <t>CURRENT TAX EXPENSE</t>
  </si>
  <si>
    <t>DEFERRED INCOME TAXES</t>
  </si>
  <si>
    <t>INVESTMENT TAX CREDITS, NET</t>
  </si>
  <si>
    <t>TOTAL INCOME TAX PROVISION</t>
  </si>
  <si>
    <t xml:space="preserve">FLORIDA POWER &amp; LIGHT </t>
  </si>
  <si>
    <t>COMPANY AND SUBSIDIARIES</t>
  </si>
  <si>
    <t xml:space="preserve">         Page 2 of 2</t>
  </si>
  <si>
    <t>Schedule C-23</t>
  </si>
  <si>
    <t>INTEREST IN TAX EXPENSE CALCULATION</t>
  </si>
  <si>
    <t xml:space="preserve">     EXPLANATION:</t>
  </si>
  <si>
    <t>Provide the amount of interest expense used to calculate net</t>
  </si>
  <si>
    <t>Historical Base Year</t>
  </si>
  <si>
    <t>Test Year</t>
  </si>
  <si>
    <t>Ended</t>
  </si>
  <si>
    <t xml:space="preserve">       Description</t>
  </si>
  <si>
    <t>_</t>
  </si>
  <si>
    <t>Interest on Long Term Debt</t>
  </si>
  <si>
    <t>Amortization of Debt Discount, Premium, Issuing</t>
  </si>
  <si>
    <t xml:space="preserve">   Expense &amp; Loss on Reacquired Debt</t>
  </si>
  <si>
    <t>Interest on Short Term Debt</t>
  </si>
  <si>
    <t>Interest on Customer Deposits</t>
  </si>
  <si>
    <t>Other Interest Expense</t>
  </si>
  <si>
    <t>Less Allowance for Funds Used During Construction</t>
  </si>
  <si>
    <t>Total Interest Expense</t>
  </si>
  <si>
    <t>D-1a</t>
  </si>
  <si>
    <t>Witness: Kim Ousdahl, Moray Dewhurst, Robert E. Barrett, Jr.</t>
  </si>
  <si>
    <t xml:space="preserve">income for the annualized costs of the new  </t>
  </si>
  <si>
    <t>Provide the calculation of state and federal income taxes</t>
  </si>
  <si>
    <t>operating income taxes on Schedule C-22</t>
  </si>
  <si>
    <t xml:space="preserve">         Page 1 of 2</t>
  </si>
  <si>
    <t>NOTE 1:   Data does not include clause recoverable expenses such as fuel, environmental, and security.</t>
  </si>
  <si>
    <t xml:space="preserve">OTHER POWER GENERATION </t>
  </si>
  <si>
    <t>CONSTRUCTION OF POWER PLANT &amp; TRANSMISSION INTERCONNECTION (Note 1)</t>
  </si>
  <si>
    <t>OTHER PRODUCTION</t>
  </si>
  <si>
    <t>TOTAL TRANSMISION</t>
  </si>
  <si>
    <t>POWER PLANT &amp; TRANSMISSION INTERCONNECTION (Note 1)</t>
  </si>
  <si>
    <t>Transmission</t>
  </si>
  <si>
    <t>Various</t>
  </si>
  <si>
    <t>ASSESSED VALUE</t>
  </si>
  <si>
    <t>NOTE:</t>
  </si>
  <si>
    <t>Not Applicable</t>
  </si>
  <si>
    <t>Jurisdictional Factor</t>
  </si>
  <si>
    <t>Jurisdictional Interest Expense</t>
  </si>
  <si>
    <t xml:space="preserve">DEPR &amp; AMORT EXP - OTH PROD </t>
  </si>
  <si>
    <t>Recap Schedules: B-6</t>
  </si>
  <si>
    <t>LESS INTEREST CHARGES (FROM C-23)</t>
  </si>
  <si>
    <t>C-22</t>
  </si>
  <si>
    <t>Prop Tax</t>
  </si>
  <si>
    <t>PIS</t>
  </si>
  <si>
    <t>Reserve</t>
  </si>
  <si>
    <t>Net Plant</t>
  </si>
  <si>
    <t>Tax Rate</t>
  </si>
  <si>
    <t>C-20</t>
  </si>
  <si>
    <t xml:space="preserve">     ADD:  BOOK DEPRECIATION, LESS DEBT AFUDC PORTION</t>
  </si>
  <si>
    <t xml:space="preserve">     LESS:  EQUITY AFUDC</t>
  </si>
  <si>
    <t xml:space="preserve">     ADD:  TURN AROUND OF DEBT AFUDC</t>
  </si>
  <si>
    <t xml:space="preserve">                STATE AMORTIZATION OF FEDERAL BONUS DEPRECIATION</t>
  </si>
  <si>
    <t>EQUITY AFUDC</t>
  </si>
  <si>
    <t>STATE TAXABLE INCOME (L5+L15+L21)</t>
  </si>
  <si>
    <t>STATE INCOME TAX (5.5%)</t>
  </si>
  <si>
    <t>FEDERAL TAXABLE INCOME AFTER STATE</t>
  </si>
  <si>
    <t>TOTALS MAY NOT ADD DUE TO ROUNDING</t>
  </si>
  <si>
    <t>Retail Jurisdictional Factors</t>
  </si>
  <si>
    <t>Plant In Service - Other production</t>
  </si>
  <si>
    <t>Plant In Service - Transmission</t>
  </si>
  <si>
    <t>Accum Prov Deprec &amp; Amort - Other Production</t>
  </si>
  <si>
    <t>Accum Prov Deprec &amp; Amort - Transmission</t>
  </si>
  <si>
    <t>O&amp;M</t>
  </si>
  <si>
    <t>Other Power - Oper Supervision &amp; Engineer</t>
  </si>
  <si>
    <t>Other Power - Generation Expense</t>
  </si>
  <si>
    <t>Other Power - Misc Other Pwr Gen</t>
  </si>
  <si>
    <t>Other Power - Maintenance Supv &amp; Engineer</t>
  </si>
  <si>
    <t>Other Power - Maint of Structures</t>
  </si>
  <si>
    <t>Other Power - Maint Gen and Electric Plant</t>
  </si>
  <si>
    <t>Other Power - Maint Misc Other Pwr Gen</t>
  </si>
  <si>
    <t>E&amp;G Expense - Property Insurance</t>
  </si>
  <si>
    <t>E&amp;G Expense -Injuries and Damages</t>
  </si>
  <si>
    <t>E&amp;G Expense - Empe Pension &amp; Benefits</t>
  </si>
  <si>
    <t>Depreciation</t>
  </si>
  <si>
    <t>403/404</t>
  </si>
  <si>
    <t>Other Production</t>
  </si>
  <si>
    <t>Taxes Other Than Inc Taxes</t>
  </si>
  <si>
    <t>Real &amp; Pers Property Tax</t>
  </si>
  <si>
    <t>Federal Unemployement Tax</t>
  </si>
  <si>
    <t>State Unemployement Tax</t>
  </si>
  <si>
    <t>FICA (Social Security)</t>
  </si>
  <si>
    <t>Okeechobee Limited Scope</t>
  </si>
  <si>
    <t>OKB Plant in Service Calculation</t>
  </si>
  <si>
    <t>Year 2019</t>
  </si>
  <si>
    <t>Book Depreciable Plant in Service - Beg Bal.</t>
  </si>
  <si>
    <t>Okeechobee Limited Scope - Generation</t>
  </si>
  <si>
    <t xml:space="preserve">   Plant Account Total </t>
  </si>
  <si>
    <t xml:space="preserve">     </t>
  </si>
  <si>
    <t xml:space="preserve">     Total Plant in Service - Beg. Bal.</t>
  </si>
  <si>
    <t xml:space="preserve">        Plant Account Total </t>
  </si>
  <si>
    <t xml:space="preserve">     Accumulated Depreciation - Beg. Bal.</t>
  </si>
  <si>
    <t xml:space="preserve">        Okeechobee Limited Scope - Generation</t>
  </si>
  <si>
    <t xml:space="preserve">          Net Plant in Service - Beg. Bal.</t>
  </si>
  <si>
    <t>Okeechobee Limited Scope - Transmission</t>
  </si>
  <si>
    <t xml:space="preserve">        Okeechobee Limited Scope - Transmission</t>
  </si>
  <si>
    <t xml:space="preserve">        Okeechobee Limited Scope</t>
  </si>
  <si>
    <r>
      <rPr>
        <u val="single"/>
        <sz val="13"/>
        <rFont val="Arial"/>
        <family val="2"/>
      </rPr>
      <t xml:space="preserve">  X  </t>
    </r>
    <r>
      <rPr>
        <sz val="13"/>
        <rFont val="Arial"/>
        <family val="2"/>
      </rPr>
      <t xml:space="preserve"> Projected Year Ended </t>
    </r>
    <r>
      <rPr>
        <u val="single"/>
        <sz val="13"/>
        <rFont val="Arial"/>
        <family val="2"/>
      </rPr>
      <t>05/31/20</t>
    </r>
  </si>
  <si>
    <t>Note 1:  Power plant and transmission interconnection have a projected in-service date of June 1, 2019.</t>
  </si>
  <si>
    <t>Misc Other Power Generation Expense</t>
  </si>
  <si>
    <t>Maint Supervision &amp; Engineering</t>
  </si>
  <si>
    <t>Maintenance of Structures</t>
  </si>
  <si>
    <t>Maint Generating &amp; Electric Plant</t>
  </si>
  <si>
    <t>Maint of Misc Other Power Gen Plant</t>
  </si>
  <si>
    <t>FUTA</t>
  </si>
  <si>
    <t>SUTA</t>
  </si>
  <si>
    <t>Oper Supvn &amp; Eng</t>
  </si>
  <si>
    <t>Gen Exp</t>
  </si>
  <si>
    <t>Base O&amp;M 
First Year OP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</si>
  <si>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</si>
  <si>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</si>
  <si>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</si>
  <si>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</si>
  <si>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</si>
  <si>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</si>
  <si>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</si>
  <si>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</si>
  <si>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</si>
  <si>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</si>
  <si>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</si>
  <si>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</si>
  <si>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Injury &amp; Damage-W/C EP (.59%)</t>
  </si>
  <si>
    <t>PR Tax OH (6.48%)</t>
  </si>
  <si>
    <t>Empl Pension &amp; Benf (10.06%)</t>
  </si>
  <si>
    <t>Base O&amp;M first year of OP</t>
  </si>
  <si>
    <t>Base O&amp;M first year of OP PR Loadings to 900 accounts</t>
  </si>
  <si>
    <t>Base O&amp;M first year of OP PR Loadings to 408 accounts</t>
  </si>
  <si>
    <t>Base O&amp;M plus PR Loadings first year</t>
  </si>
  <si>
    <t>Payroll Loadings</t>
  </si>
  <si>
    <t>Substation</t>
  </si>
  <si>
    <t>Generation</t>
  </si>
  <si>
    <t>base for the annualized costs of the new Okeechobee</t>
  </si>
  <si>
    <t>Fully Loaded</t>
  </si>
  <si>
    <t>% of Total</t>
  </si>
  <si>
    <t>Total Year 1</t>
  </si>
  <si>
    <t>Straight Time Payroll</t>
  </si>
  <si>
    <t xml:space="preserve">Total Loaders </t>
  </si>
  <si>
    <t>Payroll Loaders</t>
  </si>
  <si>
    <t>Unloaded - Above less Payroll Loaders</t>
  </si>
  <si>
    <t>Witness: Kim Ousdahl, Renae Deaton, Robert E. Barrett, Jr.</t>
  </si>
  <si>
    <t xml:space="preserve">Witness: Kim Ousdahl, Renae Deaton, </t>
  </si>
  <si>
    <t>Okeechobee Clean Energy Center.</t>
  </si>
  <si>
    <t>Jurisdictional Adjusted Rate Base - Okeechobee Clean Energy Center</t>
  </si>
  <si>
    <t>Rate of Return on Rate Base Projected - Okeechobee Clean Energy Center</t>
  </si>
  <si>
    <t>Jurisdictional Net Operating Income Projected - Okeechobee Clean Energy Center</t>
  </si>
  <si>
    <t>Jurisdictional Adjusted Net Operating Income (Loss) - Okeechobee Clean Energy Center</t>
  </si>
  <si>
    <t>Net Operating Income Deficiency (Excess) - Okeechobee Clean Energy Center</t>
  </si>
  <si>
    <t>Earned Rate of Return - Okeechobee Clean Energy Center</t>
  </si>
  <si>
    <t>Net Operating Income Multiplier - Okeechobee Clean Energy Center</t>
  </si>
  <si>
    <t>CALCULATION OF OKEECHOBEE CLEAN ENERGY CENTER FIRST YEAR ANNUALIZED REVENUE REQUIREMENT</t>
  </si>
  <si>
    <t>the new Okeechobee Clean Energy Center annualized period.</t>
  </si>
  <si>
    <t>for the new Okeechobee Clean Energy Center.</t>
  </si>
  <si>
    <t>new Okeechobee Clean Energy Center.</t>
  </si>
  <si>
    <t>annualized cost of the new Okeechobee Clean Energy Center.</t>
  </si>
  <si>
    <t>the new Okeechobee Clean Energy Center.</t>
  </si>
  <si>
    <t>Okeechobee Clean Energy Center</t>
  </si>
  <si>
    <t xml:space="preserve">determination proceedings and with the calculation of GBRA revenue requirements for the Riviera Clean Energy Center and Port Everglades </t>
  </si>
  <si>
    <t>NOTE 2:   The jurisdictional separation factors used in the development of the FPSC Jurisdictional amounts are those used in FPL's 2018 Subsequent Year Adjustment.</t>
  </si>
  <si>
    <t>Note 1: The jurisdictional separation factors used in the development of the FPSC Jurisdictional amounts are those used in FPL's 2018 Subsequent Year Adjustment.</t>
  </si>
  <si>
    <t>Note 1:  The jurisdictional separation factors used in the development of the FPSC Jurisdictional amounts are those used in FPL's 2018 Subsequent Year Adjustment.</t>
  </si>
  <si>
    <t>2019 Okeechobee Limited Scope Adjustment</t>
  </si>
  <si>
    <r>
      <t>__</t>
    </r>
    <r>
      <rPr>
        <u val="single"/>
        <sz val="13"/>
        <rFont val="Arial"/>
        <family val="2"/>
      </rPr>
      <t>X__</t>
    </r>
    <r>
      <rPr>
        <sz val="13"/>
        <rFont val="Arial"/>
        <family val="2"/>
      </rPr>
      <t xml:space="preserve">     Projected Year Ended </t>
    </r>
    <r>
      <rPr>
        <u val="single"/>
        <sz val="13"/>
        <rFont val="Arial"/>
        <family val="2"/>
      </rPr>
      <t>05/31/20</t>
    </r>
  </si>
  <si>
    <t xml:space="preserve">Clean Energy Center.  Provide the details of all adjustments </t>
  </si>
  <si>
    <r>
      <t xml:space="preserve"> </t>
    </r>
    <r>
      <rPr>
        <u val="single"/>
        <sz val="13"/>
        <rFont val="Arial"/>
        <family val="2"/>
      </rPr>
      <t xml:space="preserve">   X   </t>
    </r>
    <r>
      <rPr>
        <sz val="13"/>
        <rFont val="Arial"/>
        <family val="2"/>
      </rPr>
      <t xml:space="preserve">  Projected Year Ended </t>
    </r>
    <r>
      <rPr>
        <u val="single"/>
        <sz val="13"/>
        <rFont val="Arial"/>
        <family val="2"/>
      </rPr>
      <t>05/31/20</t>
    </r>
  </si>
  <si>
    <t>on an annualized basis for the new Okeechobee Clean Energy Center.</t>
  </si>
  <si>
    <t>For each tax, indicate the amount charged to operating</t>
  </si>
  <si>
    <t>expenses and complete columns 5, 6 and 7.</t>
  </si>
  <si>
    <r>
      <rPr>
        <u val="single"/>
        <sz val="12"/>
        <rFont val="Arial"/>
        <family val="2"/>
      </rPr>
      <t xml:space="preserve">  X  </t>
    </r>
    <r>
      <rPr>
        <sz val="12"/>
        <rFont val="Arial"/>
        <family val="2"/>
      </rPr>
      <t xml:space="preserve"> Projected Year Ended </t>
    </r>
    <r>
      <rPr>
        <u val="single"/>
        <sz val="12"/>
        <rFont val="Arial"/>
        <family val="2"/>
      </rPr>
      <t>05/31/20</t>
    </r>
  </si>
  <si>
    <t>Manual calculation of the 409, 410 &amp; 411 juris %</t>
  </si>
  <si>
    <t>DOCKET NO.: 160021-EI</t>
  </si>
  <si>
    <t>Updated 1-23-15 &amp; Info provided by J. Chin</t>
  </si>
  <si>
    <t>FEDERAL TAXABLE INCOME (Page 1, L5+L15+L21+L30)</t>
  </si>
  <si>
    <t xml:space="preserve">Energy Center that were approved by the Commission.  </t>
  </si>
  <si>
    <t>The proposed long term debt rate and proposed rate of return on common equity is consistent with amounts provided for FPL's 2018 Subsequent Year Adjustment.</t>
  </si>
  <si>
    <t>Provided by J. Chin - based on C-44 for 2018 (1-24-2016)</t>
  </si>
  <si>
    <t>Proration of Accumulated Deferred Income Taxes</t>
  </si>
  <si>
    <t>2019 Okeechobee Unit Limited Scope Adjustment</t>
  </si>
  <si>
    <t>[A]</t>
  </si>
  <si>
    <t>[B]</t>
  </si>
  <si>
    <t>[C]</t>
  </si>
  <si>
    <t>[D]</t>
  </si>
  <si>
    <t>[E]</t>
  </si>
  <si>
    <t>[F]</t>
  </si>
  <si>
    <t>From Col [A]</t>
  </si>
  <si>
    <t>A  *  D/Total C</t>
  </si>
  <si>
    <t>From Col [E]</t>
  </si>
  <si>
    <t>Acct 282</t>
  </si>
  <si>
    <t xml:space="preserve">Future </t>
  </si>
  <si>
    <t>Prorated</t>
  </si>
  <si>
    <t>Ledger</t>
  </si>
  <si>
    <t>Days to</t>
  </si>
  <si>
    <t>Days in</t>
  </si>
  <si>
    <t>Monthly</t>
  </si>
  <si>
    <t>Month</t>
  </si>
  <si>
    <t>Activity</t>
  </si>
  <si>
    <t>Prorate</t>
  </si>
  <si>
    <t>Test Period</t>
  </si>
  <si>
    <t>Beg Balance</t>
  </si>
  <si>
    <t>13 Month Average</t>
  </si>
  <si>
    <t>Adjustment to Decrease ADIT to Prorated 13 Month Average</t>
  </si>
  <si>
    <t xml:space="preserve">The cost of capital set forth above reflects incremental long-term sources of capital consistent with the analyses submitted in connection with the need </t>
  </si>
  <si>
    <t>for the annualized costs of the Okeechobee Clean Energy Center.</t>
  </si>
  <si>
    <t>Witness:  Kim Ousdahl, Robert E. Barrett, Jr.</t>
  </si>
  <si>
    <t>ELECTRIC PLANT IN SERVICE PRODUCTION</t>
  </si>
  <si>
    <t>ACCUMULATED PROVISION DEPRECIATION</t>
  </si>
  <si>
    <t>TOTAL PLANT IN SERVICE</t>
  </si>
  <si>
    <t>TOTAL ACCUM PROVISION DEPRECIATION</t>
  </si>
  <si>
    <t>MFR shows revenue requirement for projected 12-month period starting with Okeechobee Clean Energy Center in-service date of 6/1/2019.</t>
  </si>
  <si>
    <t>GSU's</t>
  </si>
  <si>
    <t>ELECTRIC PLANT IN SERVICE TRANSMISSION - GSU's</t>
  </si>
  <si>
    <t xml:space="preserve">DEPR &amp; AMORT EXP - TRANS </t>
  </si>
  <si>
    <t>DEPR &amp; AMORT EXP - TRANS - GSU's</t>
  </si>
  <si>
    <t>Okeechobee Limited Scope - GSUs</t>
  </si>
  <si>
    <t>Beginning Balance</t>
  </si>
  <si>
    <t>ACCUM PROVISION DEPRECIATION - TRANSMISSION - GSU</t>
  </si>
  <si>
    <t>Okeechobee Clean Energy Center - GSU</t>
  </si>
  <si>
    <t>B-6, L 27</t>
  </si>
  <si>
    <t xml:space="preserve">Witness:  Robert E. Barrett, Jr., Kim Ousdahl, </t>
  </si>
  <si>
    <t>Renae Deaton</t>
  </si>
  <si>
    <t>Incentive Loaders</t>
  </si>
  <si>
    <t>WACC</t>
  </si>
  <si>
    <t>DEFERRED INCOME TAX</t>
  </si>
  <si>
    <t>INVESTMENT TAX CREDITS</t>
  </si>
  <si>
    <t>OPC 010628</t>
  </si>
  <si>
    <t>FPL RC-16</t>
  </si>
  <si>
    <t>OPC 010629</t>
  </si>
  <si>
    <t>OPC 010630</t>
  </si>
  <si>
    <t>OPC 010631</t>
  </si>
  <si>
    <t>OPC 010632</t>
  </si>
  <si>
    <t>OPC 010633</t>
  </si>
  <si>
    <t>OPC 010634</t>
  </si>
  <si>
    <t>OPC 010635</t>
  </si>
  <si>
    <t>OPC 010636</t>
  </si>
  <si>
    <t>OPC 010637</t>
  </si>
  <si>
    <t>OPC 010638</t>
  </si>
  <si>
    <t>OPC 010639</t>
  </si>
  <si>
    <t>OPC 010640</t>
  </si>
  <si>
    <t>OPC 010641</t>
  </si>
  <si>
    <t>OPC 010642</t>
  </si>
  <si>
    <t>OPC 010643</t>
  </si>
  <si>
    <t>OPC 010644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</si>
</sst>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"/>
    <numFmt numFmtId="166" formatCode="0.000000"/>
    <numFmt numFmtId="167" formatCode="#,##0.00000000"/>
    <numFmt numFmtId="168" formatCode="_(* #,##0_);_(* \(#,##0\);_(* &quot;-&quot;??_);_(@_)"/>
    <numFmt numFmtId="169" formatCode="_-&quot;£&quot;* #,##0.00_-;\-&quot;£&quot;* #,##0.00_-;_-&quot;£&quot;* &quot;-&quot;??_-;_-@_-"/>
    <numFmt numFmtId="170" formatCode="&quot;£&quot;#,##0_);[Red]\(&quot;£&quot;#,##0\)"/>
    <numFmt numFmtId="171" formatCode="0_);\(0\)"/>
    <numFmt numFmtId="172" formatCode="0.0000000"/>
    <numFmt numFmtId="173" formatCode="0.00000000"/>
    <numFmt numFmtId="174" formatCode="0.000%"/>
    <numFmt numFmtId="175" formatCode="_(&quot;$&quot;* #,##0.00_);_(&quot;$&quot;* \(#,##0.00\);_(&quot;$&quot;* &quot;-&quot;_);_(@_)"/>
    <numFmt numFmtId="176" formatCode="_(&quot;$&quot;* #,##0_);_(&quot;$&quot;* \(#,##0\);_(&quot;$&quot;* &quot;-&quot;??_);_(@_)"/>
    <numFmt numFmtId="177" formatCode="[$$-409]#,##0"/>
    <numFmt numFmtId="178" formatCode="##,###,\ ;\(##,###,\);0"/>
    <numFmt numFmtId="179" formatCode="#,##0_);[Red]\(#,##0\);&quot; &quot;"/>
    <numFmt numFmtId="180" formatCode="[$-409]mmm\-yy;@"/>
    <numFmt numFmtId="181" formatCode="#,##0.000000_);\(#,##0.000000\)"/>
    <numFmt numFmtId="182" formatCode="\$\ #,##0.00\ ;\$\ &quot;(&quot;#,##0.00&quot;)&quot;"/>
    <numFmt numFmtId="183" formatCode="0.000_)"/>
    <numFmt numFmtId="184" formatCode="_(* #,##0.00_);_(* \(#,##0.00\);_(* &quot;-&quot;????_);_(@_)"/>
    <numFmt numFmtId="185" formatCode="mm/dd/yy;@"/>
    <numFmt numFmtId="186" formatCode="#,##0.0_);[Red]\(#,##0.0\);&quot; &quot;"/>
    <numFmt numFmtId="187" formatCode="#,##0.00_);[Red]\(#,##0.00\);&quot; &quot;"/>
    <numFmt numFmtId="188" formatCode="#,##0.000_);[Red]\(#,##0.000\);&quot; &quot;"/>
    <numFmt numFmtId="189" formatCode="#,##0.0000_);[Red]\(#,##0.0000\);&quot; &quot;"/>
    <numFmt numFmtId="190" formatCode="#,##0.00000_);[Red]\(#,##0.00000\);&quot; &quot;"/>
    <numFmt numFmtId="191" formatCode="#,##0.000000_);[Red]\(#,##0.000000\);&quot; &quot;"/>
    <numFmt numFmtId="192" formatCode="_-* #,##0.00\ &quot;DM&quot;_-;\-* #,##0.00\ &quot;DM&quot;_-;_-* &quot;-&quot;??\ &quot;DM&quot;_-;_-@_-"/>
    <numFmt numFmtId="193" formatCode="_(&quot;$&quot;* #,##0.0_);_(&quot;$&quot;* \(#,##0.0\);_(&quot;$&quot;* &quot;-&quot;??_);_(@_)"/>
    <numFmt numFmtId="194" formatCode="_(* #,##0.0_);_(* \(#,##0.0\);_(* &quot;-&quot;??_);_(@_)"/>
    <numFmt numFmtId="195" formatCode="0.0"/>
    <numFmt numFmtId="196" formatCode="_(&quot;$&quot;* #,##0.000_);_(&quot;$&quot;* \(#,##0.000\);_(&quot;$&quot;* &quot;-&quot;??_);_(@_)"/>
    <numFmt numFmtId="197" formatCode="_(&quot;$&quot;* #,##0.00000_);_(&quot;$&quot;* \(#,##0.00000\);_(&quot;$&quot;* &quot;-&quot;?????_);_(@_)"/>
    <numFmt numFmtId="198" formatCode="_(* #,##0.000_);_(* \(#,##0.000\);_(* &quot;-&quot;??_);_(@_)"/>
    <numFmt numFmtId="199" formatCode="_(* #,##0.0000_);_(* \(#,##0.0000\);_(* &quot;-&quot;??_);_(@_)"/>
    <numFmt numFmtId="200" formatCode="0.000000000"/>
    <numFmt numFmtId="201" formatCode="#,##0_);[Red]\-#,##0;&quot;0&quot;"/>
    <numFmt numFmtId="202" formatCode="#,##0.00000000000_);[Red]\(#,##0.00000000000\);&quot; &quot;"/>
    <numFmt numFmtId="203" formatCode="#,##0.00%_);\(#,##0.00%\)"/>
    <numFmt numFmtId="204" formatCode="0.0000%"/>
    <numFmt numFmtId="205" formatCode="0.0000"/>
    <numFmt numFmtId="206" formatCode="#,##0.000000000"/>
    <numFmt numFmtId="207" formatCode="#,##0.0000000"/>
    <numFmt numFmtId="208" formatCode="#,##0.000000"/>
    <numFmt numFmtId="209" formatCode="0.0000000000000000%"/>
    <numFmt numFmtId="210" formatCode="0.0%"/>
    <numFmt numFmtId="211" formatCode="0.000000000000000000%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#,##0.0"/>
    <numFmt numFmtId="220" formatCode="#,##0.000"/>
    <numFmt numFmtId="221" formatCode="#,##0.0000"/>
    <numFmt numFmtId="222" formatCode="#,##0.00000"/>
    <numFmt numFmtId="223" formatCode="_(&quot;$&quot;* #,##0.0_);_(&quot;$&quot;* \(#,##0.0\);_(&quot;$&quot;* &quot;-&quot;_);_(@_)"/>
    <numFmt numFmtId="224" formatCode="_(&quot;$&quot;* #,##0.000_);_(&quot;$&quot;* \(#,##0.000\);_(&quot;$&quot;* &quot;-&quot;_);_(@_)"/>
    <numFmt numFmtId="225" formatCode="_(&quot;$&quot;* #,##0.0000_);_(&quot;$&quot;* \(#,##0.0000\);_(&quot;$&quot;* &quot;-&quot;_);_(@_)"/>
    <numFmt numFmtId="226" formatCode="_(&quot;$&quot;* #,##0.00000_);_(&quot;$&quot;* \(#,##0.00000\);_(&quot;$&quot;* &quot;-&quot;_);_(@_)"/>
  </numFmts>
  <fonts count="8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36"/>
      <name val="Arial"/>
      <family val="2"/>
    </font>
    <font>
      <u val="single"/>
      <sz val="10.45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  <family val="0"/>
    </font>
    <font>
      <b/>
      <sz val="8"/>
      <color indexed="8"/>
      <name val="Helv"/>
      <family val="0"/>
    </font>
    <font>
      <sz val="13"/>
      <name val="Arial"/>
      <family val="2"/>
    </font>
    <font>
      <b/>
      <sz val="13"/>
      <name val="Arial"/>
      <family val="2"/>
    </font>
    <font>
      <u val="single"/>
      <sz val="13"/>
      <name val="Arial"/>
      <family val="2"/>
    </font>
    <font>
      <b/>
      <sz val="14"/>
      <name val="Arial"/>
      <family val="2"/>
    </font>
    <font>
      <sz val="13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u val="single"/>
      <sz val="8.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ms Rm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u val="single"/>
      <sz val="13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3"/>
      <color indexed="10"/>
      <name val="Arial"/>
      <family val="2"/>
    </font>
    <font>
      <sz val="7"/>
      <color indexed="10"/>
      <name val="Arial"/>
      <family val="2"/>
    </font>
    <font>
      <sz val="13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13"/>
      <color rgb="FFFF0000"/>
      <name val="Arial"/>
      <family val="2"/>
    </font>
    <font>
      <sz val="7"/>
      <color rgb="FFFF0000"/>
      <name val="Arial"/>
      <family val="2"/>
    </font>
    <font>
      <sz val="13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ck"/>
      <bottom/>
    </border>
    <border>
      <left/>
      <right/>
      <top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horizontal="left" wrapText="1"/>
      <protection/>
    </xf>
    <xf numFmtId="0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6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20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20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20" fillId="13" borderId="0" applyNumberFormat="0" applyBorder="0" applyAlignment="0" applyProtection="0"/>
    <xf numFmtId="0" fontId="42" fillId="21" borderId="0" applyNumberFormat="0" applyBorder="0" applyAlignment="0" applyProtection="0"/>
    <xf numFmtId="0" fontId="42" fillId="28" borderId="0" applyNumberFormat="0" applyBorder="0" applyAlignment="0" applyProtection="0"/>
    <xf numFmtId="0" fontId="43" fillId="22" borderId="0" applyNumberFormat="0" applyBorder="0" applyAlignment="0" applyProtection="0"/>
    <xf numFmtId="0" fontId="20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19" borderId="0" applyNumberFormat="0" applyBorder="0" applyAlignment="0" applyProtection="0"/>
    <xf numFmtId="0" fontId="20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4" borderId="0" applyNumberFormat="0" applyBorder="0" applyAlignment="0" applyProtection="0"/>
    <xf numFmtId="0" fontId="21" fillId="3" borderId="0" applyNumberFormat="0" applyBorder="0" applyAlignment="0" applyProtection="0"/>
    <xf numFmtId="170" fontId="8" fillId="0" borderId="0" applyFill="0" applyBorder="0" applyAlignment="0">
      <protection/>
    </xf>
    <xf numFmtId="0" fontId="22" fillId="35" borderId="1" applyNumberFormat="0" applyAlignment="0" applyProtection="0"/>
    <xf numFmtId="0" fontId="23" fillId="36" borderId="2" applyNumberFormat="0" applyAlignment="0" applyProtection="0"/>
    <xf numFmtId="43" fontId="8" fillId="0" borderId="0" applyFont="0" applyFill="0" applyBorder="0" applyAlignment="0" applyProtection="0"/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41" fontId="8" fillId="0" borderId="0" applyFont="0" applyFill="0" applyBorder="0" applyAlignment="0" applyProtection="0"/>
    <xf numFmtId="41" fontId="7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9" fillId="0" borderId="0" applyNumberFormat="0" applyAlignment="0">
      <protection/>
    </xf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10" fillId="0" borderId="0" applyNumberFormat="0" applyAlignment="0">
      <protection/>
    </xf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38" fontId="6" fillId="35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7" borderId="1" applyNumberFormat="0" applyAlignment="0" applyProtection="0"/>
    <xf numFmtId="10" fontId="6" fillId="40" borderId="8" applyNumberFormat="0" applyBorder="0" applyAlignment="0" applyProtection="0"/>
    <xf numFmtId="0" fontId="30" fillId="0" borderId="9" applyNumberFormat="0" applyFill="0" applyAlignment="0" applyProtection="0"/>
    <xf numFmtId="0" fontId="31" fillId="41" borderId="0" applyNumberFormat="0" applyBorder="0" applyAlignment="0" applyProtection="0"/>
    <xf numFmtId="169" fontId="8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84" fontId="4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42" borderId="0">
      <alignment/>
      <protection/>
    </xf>
    <xf numFmtId="184" fontId="47" fillId="0" borderId="0">
      <alignment/>
      <protection/>
    </xf>
    <xf numFmtId="166" fontId="8" fillId="0" borderId="0">
      <alignment horizontal="left" wrapText="1"/>
      <protection/>
    </xf>
    <xf numFmtId="0" fontId="8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45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0" borderId="10" applyNumberFormat="0" applyFont="0" applyAlignment="0" applyProtection="0"/>
    <xf numFmtId="0" fontId="32" fillId="35" borderId="11" applyNumberFormat="0" applyAlignment="0" applyProtection="0"/>
    <xf numFmtId="40" fontId="48" fillId="43" borderId="0">
      <alignment horizontal="right"/>
      <protection/>
    </xf>
    <xf numFmtId="0" fontId="49" fillId="43" borderId="0">
      <alignment horizontal="right"/>
      <protection/>
    </xf>
    <xf numFmtId="0" fontId="50" fillId="43" borderId="12">
      <alignment/>
      <protection/>
    </xf>
    <xf numFmtId="0" fontId="50" fillId="0" borderId="0" applyBorder="0">
      <alignment horizontal="centerContinuous"/>
      <protection/>
    </xf>
    <xf numFmtId="0" fontId="51" fillId="0" borderId="0" applyBorder="0">
      <alignment horizontal="centerContinuous"/>
      <protection/>
    </xf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4" fontId="11" fillId="0" borderId="0" applyNumberFormat="0" applyFill="0" applyBorder="0" applyAlignment="0" applyProtection="0"/>
    <xf numFmtId="4" fontId="19" fillId="41" borderId="11" applyNumberFormat="0" applyProtection="0">
      <alignment vertical="center"/>
    </xf>
    <xf numFmtId="4" fontId="6" fillId="41" borderId="13" applyNumberFormat="0" applyProtection="0">
      <alignment vertical="center"/>
    </xf>
    <xf numFmtId="4" fontId="52" fillId="41" borderId="13" applyNumberFormat="0" applyProtection="0">
      <alignment vertical="center"/>
    </xf>
    <xf numFmtId="4" fontId="19" fillId="41" borderId="11" applyNumberFormat="0" applyProtection="0">
      <alignment horizontal="left" vertical="center" indent="1"/>
    </xf>
    <xf numFmtId="4" fontId="6" fillId="41" borderId="13" applyNumberFormat="0" applyProtection="0">
      <alignment horizontal="left" vertical="center" indent="1"/>
    </xf>
    <xf numFmtId="0" fontId="53" fillId="41" borderId="14" applyNumberFormat="0" applyProtection="0">
      <alignment horizontal="left" vertical="top" indent="1"/>
    </xf>
    <xf numFmtId="0" fontId="8" fillId="2" borderId="11" applyNumberFormat="0" applyProtection="0">
      <alignment horizontal="left" vertical="center" indent="1"/>
    </xf>
    <xf numFmtId="4" fontId="6" fillId="14" borderId="13" applyNumberFormat="0" applyProtection="0">
      <alignment horizontal="left" vertical="center" indent="1"/>
    </xf>
    <xf numFmtId="4" fontId="6" fillId="3" borderId="13" applyNumberFormat="0" applyProtection="0">
      <alignment horizontal="right" vertical="center"/>
    </xf>
    <xf numFmtId="4" fontId="6" fillId="44" borderId="13" applyNumberFormat="0" applyProtection="0">
      <alignment horizontal="right" vertical="center"/>
    </xf>
    <xf numFmtId="4" fontId="6" fillId="20" borderId="15" applyNumberFormat="0" applyProtection="0">
      <alignment horizontal="right" vertical="center"/>
    </xf>
    <xf numFmtId="4" fontId="6" fillId="11" borderId="13" applyNumberFormat="0" applyProtection="0">
      <alignment horizontal="right" vertical="center"/>
    </xf>
    <xf numFmtId="4" fontId="6" fillId="15" borderId="13" applyNumberFormat="0" applyProtection="0">
      <alignment horizontal="right" vertical="center"/>
    </xf>
    <xf numFmtId="4" fontId="6" fillId="31" borderId="13" applyNumberFormat="0" applyProtection="0">
      <alignment horizontal="right" vertical="center"/>
    </xf>
    <xf numFmtId="4" fontId="6" fillId="24" borderId="13" applyNumberFormat="0" applyProtection="0">
      <alignment horizontal="right" vertical="center"/>
    </xf>
    <xf numFmtId="4" fontId="6" fillId="45" borderId="13" applyNumberFormat="0" applyProtection="0">
      <alignment horizontal="right" vertical="center"/>
    </xf>
    <xf numFmtId="4" fontId="6" fillId="10" borderId="13" applyNumberFormat="0" applyProtection="0">
      <alignment horizontal="right" vertical="center"/>
    </xf>
    <xf numFmtId="4" fontId="34" fillId="46" borderId="11" applyNumberFormat="0" applyProtection="0">
      <alignment horizontal="left" vertical="center" indent="1"/>
    </xf>
    <xf numFmtId="4" fontId="19" fillId="47" borderId="16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6" fillId="49" borderId="13" applyNumberFormat="0" applyProtection="0">
      <alignment horizontal="right" vertical="center"/>
    </xf>
    <xf numFmtId="4" fontId="19" fillId="47" borderId="11" applyNumberFormat="0" applyProtection="0">
      <alignment horizontal="left" vertical="center" indent="1"/>
    </xf>
    <xf numFmtId="4" fontId="19" fillId="50" borderId="11" applyNumberFormat="0" applyProtection="0">
      <alignment horizontal="left" vertical="center" indent="1"/>
    </xf>
    <xf numFmtId="0" fontId="8" fillId="50" borderId="11" applyNumberFormat="0" applyProtection="0">
      <alignment horizontal="left" vertical="center" indent="1"/>
    </xf>
    <xf numFmtId="0" fontId="6" fillId="35" borderId="13" applyNumberFormat="0" applyProtection="0">
      <alignment horizontal="left" vertical="center" indent="1"/>
    </xf>
    <xf numFmtId="0" fontId="6" fillId="48" borderId="14" applyNumberFormat="0" applyProtection="0">
      <alignment horizontal="left" vertical="top" indent="1"/>
    </xf>
    <xf numFmtId="0" fontId="8" fillId="36" borderId="11" applyNumberFormat="0" applyProtection="0">
      <alignment horizontal="left" vertical="center" indent="1"/>
    </xf>
    <xf numFmtId="0" fontId="6" fillId="50" borderId="13" applyNumberFormat="0" applyProtection="0">
      <alignment horizontal="left" vertical="center" indent="1"/>
    </xf>
    <xf numFmtId="0" fontId="6" fillId="49" borderId="14" applyNumberFormat="0" applyProtection="0">
      <alignment horizontal="left" vertical="top" indent="1"/>
    </xf>
    <xf numFmtId="0" fontId="8" fillId="35" borderId="11" applyNumberFormat="0" applyProtection="0">
      <alignment horizontal="left" vertical="center" indent="1"/>
    </xf>
    <xf numFmtId="0" fontId="6" fillId="8" borderId="13" applyNumberFormat="0" applyProtection="0">
      <alignment horizontal="left" vertical="center" indent="1"/>
    </xf>
    <xf numFmtId="0" fontId="6" fillId="8" borderId="14" applyNumberFormat="0" applyProtection="0">
      <alignment horizontal="left" vertical="top" indent="1"/>
    </xf>
    <xf numFmtId="0" fontId="8" fillId="2" borderId="11" applyNumberFormat="0" applyProtection="0">
      <alignment horizontal="left" vertical="center" indent="1"/>
    </xf>
    <xf numFmtId="0" fontId="6" fillId="51" borderId="13" applyNumberFormat="0" applyProtection="0">
      <alignment horizontal="left" vertical="center" indent="1"/>
    </xf>
    <xf numFmtId="0" fontId="6" fillId="51" borderId="14" applyNumberFormat="0" applyProtection="0">
      <alignment horizontal="left" vertical="top" indent="1"/>
    </xf>
    <xf numFmtId="0" fontId="6" fillId="43" borderId="17" applyNumberFormat="0">
      <alignment/>
      <protection locked="0"/>
    </xf>
    <xf numFmtId="0" fontId="40" fillId="48" borderId="18" applyBorder="0">
      <alignment/>
      <protection/>
    </xf>
    <xf numFmtId="4" fontId="54" fillId="40" borderId="14" applyNumberFormat="0" applyProtection="0">
      <alignment vertical="center"/>
    </xf>
    <xf numFmtId="4" fontId="52" fillId="40" borderId="8" applyNumberFormat="0" applyProtection="0">
      <alignment vertical="center"/>
    </xf>
    <xf numFmtId="4" fontId="54" fillId="35" borderId="14" applyNumberFormat="0" applyProtection="0">
      <alignment horizontal="left" vertical="center" indent="1"/>
    </xf>
    <xf numFmtId="0" fontId="54" fillId="40" borderId="14" applyNumberFormat="0" applyProtection="0">
      <alignment horizontal="left" vertical="top" indent="1"/>
    </xf>
    <xf numFmtId="4" fontId="19" fillId="47" borderId="11" applyNumberFormat="0" applyProtection="0">
      <alignment horizontal="right" vertical="center"/>
    </xf>
    <xf numFmtId="4" fontId="6" fillId="0" borderId="13" applyNumberFormat="0" applyProtection="0">
      <alignment horizontal="right" vertical="center"/>
    </xf>
    <xf numFmtId="4" fontId="52" fillId="43" borderId="13" applyNumberFormat="0" applyProtection="0">
      <alignment horizontal="right" vertical="center"/>
    </xf>
    <xf numFmtId="0" fontId="8" fillId="2" borderId="11" applyNumberFormat="0" applyProtection="0">
      <alignment horizontal="left" vertical="center" indent="1"/>
    </xf>
    <xf numFmtId="4" fontId="6" fillId="14" borderId="13" applyNumberFormat="0" applyProtection="0">
      <alignment horizontal="left" vertical="center" indent="1"/>
    </xf>
    <xf numFmtId="0" fontId="8" fillId="2" borderId="11" applyNumberFormat="0" applyProtection="0">
      <alignment horizontal="left" vertical="center" indent="1"/>
    </xf>
    <xf numFmtId="0" fontId="55" fillId="0" borderId="0">
      <alignment/>
      <protection/>
    </xf>
    <xf numFmtId="0" fontId="6" fillId="52" borderId="8">
      <alignment/>
      <protection/>
    </xf>
    <xf numFmtId="4" fontId="56" fillId="43" borderId="13" applyNumberFormat="0" applyProtection="0">
      <alignment horizontal="right" vertical="center"/>
    </xf>
    <xf numFmtId="0" fontId="57" fillId="0" borderId="0" applyNumberFormat="0" applyFill="0" applyBorder="0" applyAlignment="0" applyProtection="0"/>
    <xf numFmtId="166" fontId="8" fillId="0" borderId="0">
      <alignment horizontal="left" wrapText="1"/>
      <protection/>
    </xf>
    <xf numFmtId="40" fontId="12" fillId="0" borderId="0" applyBorder="0">
      <alignment horizontal="right"/>
      <protection/>
    </xf>
    <xf numFmtId="0" fontId="33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2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/>
      <protection locked="0"/>
    </xf>
    <xf numFmtId="0" fontId="8" fillId="0" borderId="20" xfId="0" applyNumberFormat="1" applyFont="1" applyBorder="1" applyAlignment="1" applyProtection="1">
      <alignment/>
      <protection locked="0"/>
    </xf>
    <xf numFmtId="0" fontId="8" fillId="0" borderId="0" xfId="209" applyNumberFormat="1" applyFont="1" applyAlignment="1">
      <alignment horizontal="center"/>
      <protection/>
    </xf>
    <xf numFmtId="0" fontId="8" fillId="0" borderId="20" xfId="0" applyNumberFormat="1" applyFont="1" applyBorder="1" applyAlignment="1">
      <alignment horizontal="right"/>
    </xf>
    <xf numFmtId="0" fontId="8" fillId="0" borderId="21" xfId="0" applyNumberFormat="1" applyFont="1" applyBorder="1" applyAlignment="1" applyProtection="1">
      <alignment/>
      <protection locked="0"/>
    </xf>
    <xf numFmtId="0" fontId="8" fillId="0" borderId="21" xfId="0" applyNumberFormat="1" applyFont="1" applyBorder="1" applyAlignment="1">
      <alignment/>
    </xf>
    <xf numFmtId="0" fontId="13" fillId="0" borderId="0" xfId="0" applyNumberFormat="1" applyFont="1" applyAlignment="1" applyProtection="1" quotePrefix="1">
      <alignment horizontal="left"/>
      <protection locked="0"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vertical="top"/>
    </xf>
    <xf numFmtId="0" fontId="1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/>
      <protection locked="0"/>
    </xf>
    <xf numFmtId="0" fontId="13" fillId="0" borderId="20" xfId="0" applyNumberFormat="1" applyFont="1" applyBorder="1" applyAlignment="1">
      <alignment/>
    </xf>
    <xf numFmtId="0" fontId="13" fillId="0" borderId="0" xfId="0" applyNumberFormat="1" applyFont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centerContinuous"/>
      <protection locked="0"/>
    </xf>
    <xf numFmtId="0" fontId="13" fillId="0" borderId="0" xfId="0" applyNumberFormat="1" applyFont="1" applyAlignment="1">
      <alignment horizontal="center"/>
    </xf>
    <xf numFmtId="0" fontId="13" fillId="0" borderId="0" xfId="209" applyNumberFormat="1" applyFont="1" applyAlignment="1">
      <alignment/>
      <protection/>
    </xf>
    <xf numFmtId="0" fontId="13" fillId="0" borderId="0" xfId="209" applyNumberFormat="1" applyFont="1" applyAlignment="1">
      <alignment horizontal="center"/>
      <protection/>
    </xf>
    <xf numFmtId="0" fontId="13" fillId="0" borderId="0" xfId="209" applyNumberFormat="1" applyFont="1" applyAlignment="1" applyProtection="1">
      <alignment horizontal="centerContinuous"/>
      <protection locked="0"/>
    </xf>
    <xf numFmtId="0" fontId="13" fillId="0" borderId="0" xfId="209" applyNumberFormat="1" applyFont="1" applyAlignment="1">
      <alignment horizontal="centerContinuous"/>
      <protection/>
    </xf>
    <xf numFmtId="0" fontId="13" fillId="0" borderId="0" xfId="209" applyNumberFormat="1" applyFont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4" fontId="13" fillId="0" borderId="0" xfId="209" applyNumberFormat="1" applyFont="1" applyAlignment="1">
      <alignment/>
      <protection/>
    </xf>
    <xf numFmtId="37" fontId="13" fillId="0" borderId="0" xfId="0" applyNumberFormat="1" applyFont="1" applyAlignment="1">
      <alignment/>
    </xf>
    <xf numFmtId="167" fontId="13" fillId="0" borderId="0" xfId="209" applyNumberFormat="1" applyFont="1" applyAlignment="1">
      <alignment/>
      <protection/>
    </xf>
    <xf numFmtId="0" fontId="13" fillId="0" borderId="0" xfId="0" applyNumberFormat="1" applyFont="1" applyBorder="1" applyAlignment="1" applyProtection="1">
      <alignment/>
      <protection locked="0"/>
    </xf>
    <xf numFmtId="164" fontId="13" fillId="0" borderId="0" xfId="0" applyNumberFormat="1" applyFont="1" applyBorder="1" applyAlignment="1" applyProtection="1">
      <alignment/>
      <protection locked="0"/>
    </xf>
    <xf numFmtId="37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Border="1" applyAlignment="1">
      <alignment/>
    </xf>
    <xf numFmtId="37" fontId="13" fillId="0" borderId="22" xfId="0" applyNumberFormat="1" applyFont="1" applyBorder="1" applyAlignment="1" applyProtection="1">
      <alignment/>
      <protection locked="0"/>
    </xf>
    <xf numFmtId="0" fontId="14" fillId="0" borderId="0" xfId="0" applyNumberFormat="1" applyFont="1" applyBorder="1" applyAlignment="1" applyProtection="1">
      <alignment/>
      <protection locked="0"/>
    </xf>
    <xf numFmtId="0" fontId="13" fillId="0" borderId="0" xfId="207" applyNumberFormat="1" applyFont="1" applyAlignment="1">
      <alignment/>
      <protection/>
    </xf>
    <xf numFmtId="37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Alignment="1">
      <alignment vertical="top" wrapText="1"/>
    </xf>
    <xf numFmtId="165" fontId="13" fillId="0" borderId="0" xfId="0" applyNumberFormat="1" applyFont="1" applyFill="1" applyBorder="1" applyAlignment="1" applyProtection="1">
      <alignment/>
      <protection locked="0"/>
    </xf>
    <xf numFmtId="165" fontId="13" fillId="0" borderId="0" xfId="0" applyNumberFormat="1" applyFont="1" applyAlignment="1" applyProtection="1">
      <alignment/>
      <protection locked="0"/>
    </xf>
    <xf numFmtId="165" fontId="13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16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Border="1" applyAlignment="1" quotePrefix="1">
      <alignment horizontal="center"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centerContinuous"/>
      <protection locked="0"/>
    </xf>
    <xf numFmtId="0" fontId="13" fillId="0" borderId="0" xfId="0" applyNumberFormat="1" applyFont="1" applyAlignment="1" applyProtection="1">
      <alignment horizontal="center" wrapText="1"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/>
    </xf>
    <xf numFmtId="165" fontId="13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3" fillId="0" borderId="0" xfId="0" applyNumberFormat="1" applyFont="1" applyAlignment="1" applyProtection="1" quotePrefix="1">
      <alignment horizontal="right"/>
      <protection locked="0"/>
    </xf>
    <xf numFmtId="0" fontId="13" fillId="0" borderId="0" xfId="0" applyNumberFormat="1" applyFont="1" applyAlignment="1" applyProtection="1">
      <alignment horizontal="fill"/>
      <protection locked="0"/>
    </xf>
    <xf numFmtId="0" fontId="17" fillId="0" borderId="23" xfId="0" applyNumberFormat="1" applyFont="1" applyBorder="1" applyAlignment="1" applyProtection="1">
      <alignment/>
      <protection locked="0"/>
    </xf>
    <xf numFmtId="0" fontId="0" fillId="0" borderId="23" xfId="0" applyNumberFormat="1" applyFont="1" applyBorder="1" applyAlignment="1">
      <alignment/>
    </xf>
    <xf numFmtId="0" fontId="17" fillId="0" borderId="0" xfId="0" applyNumberFormat="1" applyFont="1" applyAlignment="1" applyProtection="1">
      <alignment/>
      <protection locked="0"/>
    </xf>
    <xf numFmtId="168" fontId="0" fillId="0" borderId="0" xfId="71" applyNumberFormat="1" applyFont="1" applyAlignment="1" applyProtection="1">
      <alignment/>
      <protection locked="0"/>
    </xf>
    <xf numFmtId="10" fontId="0" fillId="0" borderId="0" xfId="217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10" fontId="0" fillId="0" borderId="24" xfId="217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13" fillId="0" borderId="23" xfId="0" applyNumberFormat="1" applyFont="1" applyBorder="1" applyAlignment="1">
      <alignment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/>
      <protection locked="0"/>
    </xf>
    <xf numFmtId="0" fontId="13" fillId="0" borderId="2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fill"/>
    </xf>
    <xf numFmtId="0" fontId="13" fillId="0" borderId="0" xfId="0" applyFont="1" applyAlignment="1">
      <alignment/>
    </xf>
    <xf numFmtId="0" fontId="13" fillId="0" borderId="2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166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/>
    </xf>
    <xf numFmtId="0" fontId="14" fillId="0" borderId="20" xfId="0" applyNumberFormat="1" applyFont="1" applyBorder="1" applyAlignment="1">
      <alignment/>
    </xf>
    <xf numFmtId="14" fontId="14" fillId="0" borderId="0" xfId="0" applyNumberFormat="1" applyFont="1" applyBorder="1" applyAlignment="1" applyProtection="1" quotePrefix="1">
      <alignment/>
      <protection locked="0"/>
    </xf>
    <xf numFmtId="0" fontId="13" fillId="0" borderId="20" xfId="0" applyNumberFormat="1" applyFont="1" applyBorder="1" applyAlignment="1" quotePrefix="1">
      <alignment horizontal="centerContinuous"/>
    </xf>
    <xf numFmtId="0" fontId="13" fillId="0" borderId="20" xfId="0" applyNumberFormat="1" applyFont="1" applyBorder="1" applyAlignment="1">
      <alignment horizontal="centerContinuous"/>
    </xf>
    <xf numFmtId="0" fontId="13" fillId="0" borderId="20" xfId="0" applyNumberFormat="1" applyFont="1" applyBorder="1" applyAlignment="1" quotePrefix="1">
      <alignment horizontal="center"/>
    </xf>
    <xf numFmtId="0" fontId="13" fillId="0" borderId="0" xfId="0" applyNumberFormat="1" applyFont="1" applyAlignment="1" applyProtection="1" quotePrefix="1">
      <alignment horizontal="center"/>
      <protection/>
    </xf>
    <xf numFmtId="0" fontId="13" fillId="0" borderId="0" xfId="0" applyNumberFormat="1" applyFont="1" applyAlignment="1" applyProtection="1">
      <alignment horizontal="left"/>
      <protection locked="0"/>
    </xf>
    <xf numFmtId="42" fontId="13" fillId="0" borderId="0" xfId="0" applyNumberFormat="1" applyFont="1" applyAlignment="1" applyProtection="1">
      <alignment/>
      <protection locked="0"/>
    </xf>
    <xf numFmtId="37" fontId="13" fillId="0" borderId="0" xfId="0" applyNumberFormat="1" applyFont="1" applyAlignment="1" applyProtection="1">
      <alignment/>
      <protection locked="0"/>
    </xf>
    <xf numFmtId="10" fontId="13" fillId="0" borderId="0" xfId="0" applyNumberFormat="1" applyFont="1" applyAlignment="1" applyProtection="1">
      <alignment/>
      <protection locked="0"/>
    </xf>
    <xf numFmtId="10" fontId="13" fillId="0" borderId="0" xfId="0" applyNumberFormat="1" applyFont="1" applyBorder="1" applyAlignment="1" applyProtection="1">
      <alignment/>
      <protection locked="0"/>
    </xf>
    <xf numFmtId="0" fontId="13" fillId="0" borderId="25" xfId="0" applyNumberFormat="1" applyFont="1" applyBorder="1" applyAlignment="1">
      <alignment/>
    </xf>
    <xf numFmtId="10" fontId="13" fillId="0" borderId="26" xfId="0" applyNumberFormat="1" applyFont="1" applyBorder="1" applyAlignment="1">
      <alignment horizontal="right"/>
    </xf>
    <xf numFmtId="0" fontId="13" fillId="0" borderId="25" xfId="0" applyNumberFormat="1" applyFont="1" applyBorder="1" applyAlignment="1" applyProtection="1">
      <alignment/>
      <protection locked="0"/>
    </xf>
    <xf numFmtId="0" fontId="13" fillId="0" borderId="27" xfId="0" applyNumberFormat="1" applyFont="1" applyBorder="1" applyAlignment="1" applyProtection="1">
      <alignment/>
      <protection locked="0"/>
    </xf>
    <xf numFmtId="42" fontId="13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Alignment="1" applyProtection="1">
      <alignment/>
      <protection locked="0"/>
    </xf>
    <xf numFmtId="0" fontId="13" fillId="0" borderId="0" xfId="208" applyNumberFormat="1" applyFont="1" applyAlignment="1">
      <alignment horizontal="left"/>
      <protection/>
    </xf>
    <xf numFmtId="0" fontId="13" fillId="0" borderId="0" xfId="208" applyNumberFormat="1" applyFont="1" applyAlignment="1" applyProtection="1">
      <alignment horizontal="left"/>
      <protection locked="0"/>
    </xf>
    <xf numFmtId="0" fontId="13" fillId="0" borderId="0" xfId="0" applyNumberFormat="1" applyFont="1" applyAlignment="1">
      <alignment horizontal="left"/>
    </xf>
    <xf numFmtId="0" fontId="0" fillId="0" borderId="0" xfId="0" applyNumberFormat="1" applyFont="1" applyAlignment="1" applyProtection="1">
      <alignment/>
      <protection locked="0"/>
    </xf>
    <xf numFmtId="172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Alignment="1" applyProtection="1" quotePrefix="1">
      <alignment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171" fontId="13" fillId="0" borderId="0" xfId="0" applyNumberFormat="1" applyFont="1" applyAlignment="1" applyProtection="1">
      <alignment horizontal="center"/>
      <protection locked="0"/>
    </xf>
    <xf numFmtId="37" fontId="8" fillId="0" borderId="0" xfId="24" applyNumberFormat="1">
      <alignment/>
      <protection/>
    </xf>
    <xf numFmtId="0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 wrapText="1"/>
    </xf>
    <xf numFmtId="0" fontId="13" fillId="0" borderId="0" xfId="203" applyNumberFormat="1" applyFont="1" applyAlignment="1">
      <alignment/>
      <protection/>
    </xf>
    <xf numFmtId="0" fontId="13" fillId="0" borderId="0" xfId="203" applyNumberFormat="1" applyFont="1" applyAlignment="1" applyProtection="1">
      <alignment/>
      <protection locked="0"/>
    </xf>
    <xf numFmtId="0" fontId="0" fillId="0" borderId="0" xfId="203" applyNumberFormat="1" applyFont="1" applyAlignment="1">
      <alignment/>
      <protection/>
    </xf>
    <xf numFmtId="0" fontId="13" fillId="0" borderId="0" xfId="203" applyNumberFormat="1" applyFont="1" applyAlignment="1" quotePrefix="1">
      <alignment horizontal="left"/>
      <protection/>
    </xf>
    <xf numFmtId="0" fontId="13" fillId="0" borderId="20" xfId="203" applyNumberFormat="1" applyFont="1" applyBorder="1" applyAlignment="1">
      <alignment/>
      <protection/>
    </xf>
    <xf numFmtId="0" fontId="13" fillId="0" borderId="0" xfId="203" applyNumberFormat="1" applyFont="1" applyAlignment="1" applyProtection="1" quotePrefix="1">
      <alignment horizontal="left"/>
      <protection locked="0"/>
    </xf>
    <xf numFmtId="0" fontId="13" fillId="0" borderId="0" xfId="203" applyNumberFormat="1" applyFont="1" applyAlignment="1" applyProtection="1">
      <alignment horizontal="center"/>
      <protection locked="0"/>
    </xf>
    <xf numFmtId="0" fontId="13" fillId="0" borderId="0" xfId="203" applyNumberFormat="1" applyFont="1" applyAlignment="1">
      <alignment horizontal="center"/>
      <protection/>
    </xf>
    <xf numFmtId="0" fontId="13" fillId="0" borderId="20" xfId="203" applyNumberFormat="1" applyFont="1" applyBorder="1" applyAlignment="1" applyProtection="1">
      <alignment/>
      <protection locked="0"/>
    </xf>
    <xf numFmtId="0" fontId="0" fillId="0" borderId="0" xfId="202" applyNumberFormat="1" applyFont="1" applyAlignment="1">
      <alignment/>
      <protection/>
    </xf>
    <xf numFmtId="0" fontId="13" fillId="0" borderId="0" xfId="202" applyNumberFormat="1" applyFont="1" applyAlignment="1" quotePrefix="1">
      <alignment horizontal="left"/>
      <protection/>
    </xf>
    <xf numFmtId="0" fontId="0" fillId="0" borderId="0" xfId="202" applyNumberFormat="1" applyFont="1">
      <alignment/>
      <protection/>
    </xf>
    <xf numFmtId="0" fontId="8" fillId="0" borderId="23" xfId="0" applyNumberFormat="1" applyFont="1" applyBorder="1" applyAlignment="1">
      <alignment/>
    </xf>
    <xf numFmtId="0" fontId="13" fillId="0" borderId="0" xfId="0" applyNumberFormat="1" applyFont="1" applyBorder="1" applyAlignment="1" quotePrefix="1">
      <alignment horizontal="center"/>
    </xf>
    <xf numFmtId="0" fontId="13" fillId="0" borderId="0" xfId="0" applyNumberFormat="1" applyFont="1" applyAlignment="1">
      <alignment horizontal="centerContinuous"/>
    </xf>
    <xf numFmtId="0" fontId="13" fillId="0" borderId="0" xfId="0" applyNumberFormat="1" applyFont="1" applyAlignment="1" applyProtection="1" quotePrefix="1">
      <alignment horizontal="center"/>
      <protection locked="0"/>
    </xf>
    <xf numFmtId="178" fontId="13" fillId="0" borderId="0" xfId="0" applyNumberFormat="1" applyFont="1" applyBorder="1" applyAlignment="1" applyProtection="1">
      <alignment/>
      <protection locked="0"/>
    </xf>
    <xf numFmtId="167" fontId="13" fillId="0" borderId="0" xfId="0" applyNumberFormat="1" applyFont="1" applyBorder="1" applyAlignment="1" applyProtection="1">
      <alignment/>
      <protection locked="0"/>
    </xf>
    <xf numFmtId="37" fontId="13" fillId="0" borderId="0" xfId="0" applyNumberFormat="1" applyFont="1" applyBorder="1" applyAlignment="1">
      <alignment/>
    </xf>
    <xf numFmtId="167" fontId="13" fillId="0" borderId="0" xfId="0" applyNumberFormat="1" applyFont="1" applyAlignment="1">
      <alignment/>
    </xf>
    <xf numFmtId="167" fontId="13" fillId="0" borderId="20" xfId="0" applyNumberFormat="1" applyFont="1" applyBorder="1" applyAlignment="1">
      <alignment/>
    </xf>
    <xf numFmtId="0" fontId="13" fillId="0" borderId="0" xfId="200" applyNumberFormat="1" applyFont="1" applyAlignment="1">
      <alignment/>
      <protection/>
    </xf>
    <xf numFmtId="0" fontId="13" fillId="0" borderId="0" xfId="200" applyNumberFormat="1" applyFont="1" applyAlignment="1" applyProtection="1">
      <alignment/>
      <protection locked="0"/>
    </xf>
    <xf numFmtId="0" fontId="0" fillId="0" borderId="0" xfId="200" applyNumberFormat="1" applyFont="1">
      <alignment/>
      <protection/>
    </xf>
    <xf numFmtId="0" fontId="0" fillId="0" borderId="0" xfId="200" applyNumberFormat="1" applyFont="1" applyAlignment="1">
      <alignment/>
      <protection/>
    </xf>
    <xf numFmtId="0" fontId="13" fillId="0" borderId="0" xfId="200" applyNumberFormat="1" applyFont="1" applyAlignment="1" quotePrefix="1">
      <alignment horizontal="left"/>
      <protection/>
    </xf>
    <xf numFmtId="0" fontId="13" fillId="0" borderId="20" xfId="200" applyNumberFormat="1" applyFont="1" applyBorder="1" applyAlignment="1">
      <alignment/>
      <protection/>
    </xf>
    <xf numFmtId="0" fontId="13" fillId="0" borderId="0" xfId="200" applyNumberFormat="1" applyFont="1" applyAlignment="1" applyProtection="1" quotePrefix="1">
      <alignment horizontal="left"/>
      <protection locked="0"/>
    </xf>
    <xf numFmtId="0" fontId="13" fillId="0" borderId="0" xfId="200" applyNumberFormat="1" applyFont="1" applyAlignment="1">
      <alignment horizontal="centerContinuous"/>
      <protection/>
    </xf>
    <xf numFmtId="0" fontId="13" fillId="0" borderId="0" xfId="200" applyNumberFormat="1" applyFont="1" applyAlignment="1" applyProtection="1">
      <alignment horizontal="center"/>
      <protection locked="0"/>
    </xf>
    <xf numFmtId="0" fontId="0" fillId="0" borderId="0" xfId="200" applyNumberFormat="1" applyFont="1" applyAlignment="1">
      <alignment horizontal="centerContinuous"/>
      <protection/>
    </xf>
    <xf numFmtId="0" fontId="13" fillId="0" borderId="20" xfId="200" applyNumberFormat="1" applyFont="1" applyBorder="1" applyAlignment="1" applyProtection="1">
      <alignment/>
      <protection locked="0"/>
    </xf>
    <xf numFmtId="0" fontId="13" fillId="0" borderId="0" xfId="200" applyNumberFormat="1" applyFont="1" applyAlignment="1">
      <alignment horizontal="right"/>
      <protection/>
    </xf>
    <xf numFmtId="0" fontId="13" fillId="0" borderId="0" xfId="204" applyNumberFormat="1" applyFont="1" applyAlignment="1">
      <alignment/>
      <protection/>
    </xf>
    <xf numFmtId="0" fontId="13" fillId="0" borderId="0" xfId="204" applyNumberFormat="1" applyFont="1" applyAlignment="1" applyProtection="1">
      <alignment/>
      <protection locked="0"/>
    </xf>
    <xf numFmtId="0" fontId="13" fillId="0" borderId="0" xfId="204" applyNumberFormat="1" applyFont="1" applyAlignment="1" applyProtection="1">
      <alignment horizontal="left"/>
      <protection locked="0"/>
    </xf>
    <xf numFmtId="0" fontId="0" fillId="0" borderId="0" xfId="204" applyNumberFormat="1" applyFont="1">
      <alignment/>
      <protection/>
    </xf>
    <xf numFmtId="0" fontId="0" fillId="0" borderId="0" xfId="204" applyNumberFormat="1" applyFont="1" applyAlignment="1">
      <alignment/>
      <protection/>
    </xf>
    <xf numFmtId="0" fontId="13" fillId="0" borderId="0" xfId="204" applyNumberFormat="1" applyFont="1" applyAlignment="1" quotePrefix="1">
      <alignment horizontal="left"/>
      <protection/>
    </xf>
    <xf numFmtId="0" fontId="13" fillId="0" borderId="20" xfId="204" applyNumberFormat="1" applyFont="1" applyBorder="1" applyAlignment="1">
      <alignment/>
      <protection/>
    </xf>
    <xf numFmtId="0" fontId="13" fillId="0" borderId="0" xfId="204" applyNumberFormat="1" applyFont="1" applyAlignment="1" applyProtection="1" quotePrefix="1">
      <alignment horizontal="left"/>
      <protection locked="0"/>
    </xf>
    <xf numFmtId="6" fontId="13" fillId="0" borderId="0" xfId="204" applyNumberFormat="1" applyFont="1" applyAlignment="1" applyProtection="1" quotePrefix="1">
      <alignment/>
      <protection locked="0"/>
    </xf>
    <xf numFmtId="0" fontId="13" fillId="0" borderId="0" xfId="204" applyNumberFormat="1" applyFont="1" applyAlignment="1" applyProtection="1">
      <alignment horizontal="center"/>
      <protection locked="0"/>
    </xf>
    <xf numFmtId="0" fontId="13" fillId="0" borderId="0" xfId="204" applyNumberFormat="1" applyFont="1" applyAlignment="1">
      <alignment horizontal="centerContinuous"/>
      <protection/>
    </xf>
    <xf numFmtId="0" fontId="13" fillId="0" borderId="0" xfId="204" applyNumberFormat="1" applyFont="1" applyAlignment="1" applyProtection="1">
      <alignment horizontal="centerContinuous"/>
      <protection locked="0"/>
    </xf>
    <xf numFmtId="0" fontId="13" fillId="0" borderId="25" xfId="204" applyNumberFormat="1" applyFont="1" applyBorder="1" applyAlignment="1" applyProtection="1">
      <alignment horizontal="center"/>
      <protection locked="0"/>
    </xf>
    <xf numFmtId="0" fontId="13" fillId="0" borderId="25" xfId="204" applyNumberFormat="1" applyFont="1" applyBorder="1" applyAlignment="1" applyProtection="1">
      <alignment/>
      <protection locked="0"/>
    </xf>
    <xf numFmtId="0" fontId="13" fillId="0" borderId="20" xfId="204" applyNumberFormat="1" applyFont="1" applyBorder="1" applyAlignment="1" applyProtection="1">
      <alignment/>
      <protection locked="0"/>
    </xf>
    <xf numFmtId="0" fontId="13" fillId="0" borderId="27" xfId="204" applyNumberFormat="1" applyFont="1" applyBorder="1" applyAlignment="1" applyProtection="1">
      <alignment/>
      <protection locked="0"/>
    </xf>
    <xf numFmtId="0" fontId="13" fillId="0" borderId="27" xfId="204" applyNumberFormat="1" applyFont="1" applyBorder="1" applyAlignment="1">
      <alignment/>
      <protection/>
    </xf>
    <xf numFmtId="0" fontId="13" fillId="0" borderId="0" xfId="205" applyNumberFormat="1" applyFont="1" applyAlignment="1" quotePrefix="1">
      <alignment horizontal="left"/>
      <protection/>
    </xf>
    <xf numFmtId="0" fontId="13" fillId="0" borderId="0" xfId="205" applyNumberFormat="1" applyFont="1" applyAlignment="1">
      <alignment/>
      <protection/>
    </xf>
    <xf numFmtId="0" fontId="13" fillId="0" borderId="0" xfId="206" applyNumberFormat="1" applyFont="1" applyAlignment="1">
      <alignment/>
      <protection/>
    </xf>
    <xf numFmtId="0" fontId="13" fillId="0" borderId="0" xfId="206" applyNumberFormat="1" applyFont="1" applyAlignment="1" applyProtection="1">
      <alignment/>
      <protection locked="0"/>
    </xf>
    <xf numFmtId="0" fontId="0" fillId="0" borderId="0" xfId="206" applyNumberFormat="1" applyFont="1">
      <alignment/>
      <protection/>
    </xf>
    <xf numFmtId="0" fontId="13" fillId="0" borderId="0" xfId="206" applyNumberFormat="1" applyFont="1" applyBorder="1" applyAlignment="1">
      <alignment/>
      <protection/>
    </xf>
    <xf numFmtId="0" fontId="0" fillId="0" borderId="0" xfId="206" applyNumberFormat="1" applyFont="1" applyAlignment="1">
      <alignment/>
      <protection/>
    </xf>
    <xf numFmtId="0" fontId="13" fillId="0" borderId="0" xfId="206" applyNumberFormat="1" applyFont="1" applyAlignment="1" quotePrefix="1">
      <alignment horizontal="left"/>
      <protection/>
    </xf>
    <xf numFmtId="0" fontId="13" fillId="0" borderId="20" xfId="206" applyNumberFormat="1" applyFont="1" applyBorder="1" applyAlignment="1">
      <alignment/>
      <protection/>
    </xf>
    <xf numFmtId="0" fontId="13" fillId="0" borderId="0" xfId="206" applyNumberFormat="1" applyFont="1" applyAlignment="1" applyProtection="1" quotePrefix="1">
      <alignment horizontal="left"/>
      <protection locked="0"/>
    </xf>
    <xf numFmtId="0" fontId="13" fillId="0" borderId="0" xfId="206" applyNumberFormat="1" applyFont="1" applyAlignment="1">
      <alignment horizontal="center"/>
      <protection/>
    </xf>
    <xf numFmtId="0" fontId="13" fillId="0" borderId="0" xfId="206" applyNumberFormat="1" applyFont="1" applyAlignment="1">
      <alignment horizontal="fill"/>
      <protection/>
    </xf>
    <xf numFmtId="0" fontId="13" fillId="0" borderId="0" xfId="206" applyNumberFormat="1" applyFont="1" applyBorder="1" applyAlignment="1" applyProtection="1">
      <alignment/>
      <protection locked="0"/>
    </xf>
    <xf numFmtId="0" fontId="0" fillId="0" borderId="0" xfId="206" applyNumberFormat="1" applyFont="1" applyProtection="1">
      <alignment/>
      <protection locked="0"/>
    </xf>
    <xf numFmtId="0" fontId="13" fillId="0" borderId="20" xfId="206" applyNumberFormat="1" applyFont="1" applyBorder="1" applyAlignment="1" applyProtection="1">
      <alignment/>
      <protection locked="0"/>
    </xf>
    <xf numFmtId="0" fontId="14" fillId="0" borderId="0" xfId="206" applyNumberFormat="1" applyFont="1" applyAlignment="1" applyProtection="1">
      <alignment/>
      <protection locked="0"/>
    </xf>
    <xf numFmtId="0" fontId="0" fillId="0" borderId="0" xfId="206" applyNumberFormat="1" applyFont="1" applyBorder="1" applyAlignment="1">
      <alignment/>
      <protection/>
    </xf>
    <xf numFmtId="0" fontId="16" fillId="0" borderId="0" xfId="206" applyNumberFormat="1" applyFont="1" applyBorder="1" applyAlignment="1" applyProtection="1">
      <alignment/>
      <protection locked="0"/>
    </xf>
    <xf numFmtId="0" fontId="13" fillId="0" borderId="0" xfId="0" applyNumberFormat="1" applyFont="1" applyFill="1" applyAlignment="1">
      <alignment horizontal="center"/>
    </xf>
    <xf numFmtId="37" fontId="13" fillId="0" borderId="22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/>
    </xf>
    <xf numFmtId="0" fontId="13" fillId="0" borderId="0" xfId="200" applyNumberFormat="1" applyFont="1" applyAlignment="1" applyProtection="1" quotePrefix="1">
      <alignment horizontal="center"/>
      <protection locked="0"/>
    </xf>
    <xf numFmtId="0" fontId="15" fillId="0" borderId="0" xfId="203" applyNumberFormat="1" applyFont="1" applyAlignment="1" applyProtection="1">
      <alignment/>
      <protection locked="0"/>
    </xf>
    <xf numFmtId="17" fontId="13" fillId="0" borderId="0" xfId="203" applyNumberFormat="1" applyFont="1" applyAlignment="1">
      <alignment horizontal="center"/>
      <protection/>
    </xf>
    <xf numFmtId="0" fontId="13" fillId="0" borderId="0" xfId="203" applyNumberFormat="1" applyFont="1" applyAlignment="1">
      <alignment horizontal="right"/>
      <protection/>
    </xf>
    <xf numFmtId="3" fontId="13" fillId="0" borderId="0" xfId="203" applyNumberFormat="1" applyFont="1" applyAlignment="1" applyProtection="1">
      <alignment/>
      <protection locked="0"/>
    </xf>
    <xf numFmtId="3" fontId="13" fillId="0" borderId="0" xfId="203" applyNumberFormat="1" applyFont="1" applyAlignment="1">
      <alignment/>
      <protection/>
    </xf>
    <xf numFmtId="166" fontId="13" fillId="0" borderId="0" xfId="0" applyNumberFormat="1" applyFont="1" applyFill="1" applyBorder="1" applyAlignment="1" applyProtection="1">
      <alignment/>
      <protection locked="0"/>
    </xf>
    <xf numFmtId="164" fontId="13" fillId="0" borderId="0" xfId="0" applyNumberFormat="1" applyFont="1" applyFill="1" applyBorder="1" applyAlignment="1" applyProtection="1">
      <alignment/>
      <protection locked="0"/>
    </xf>
    <xf numFmtId="42" fontId="13" fillId="0" borderId="0" xfId="0" applyNumberFormat="1" applyFont="1" applyFill="1" applyAlignment="1" applyProtection="1">
      <alignment/>
      <protection locked="0"/>
    </xf>
    <xf numFmtId="10" fontId="13" fillId="0" borderId="0" xfId="0" applyNumberFormat="1" applyFont="1" applyFill="1" applyAlignment="1" applyProtection="1">
      <alignment/>
      <protection locked="0"/>
    </xf>
    <xf numFmtId="37" fontId="13" fillId="0" borderId="26" xfId="0" applyNumberFormat="1" applyFont="1" applyFill="1" applyBorder="1" applyAlignment="1">
      <alignment/>
    </xf>
    <xf numFmtId="165" fontId="13" fillId="0" borderId="0" xfId="0" applyNumberFormat="1" applyFont="1" applyFill="1" applyAlignment="1" applyProtection="1">
      <alignment/>
      <protection locked="0"/>
    </xf>
    <xf numFmtId="168" fontId="13" fillId="0" borderId="0" xfId="71" applyNumberFormat="1" applyFont="1" applyFill="1" applyAlignment="1" applyProtection="1">
      <alignment/>
      <protection locked="0"/>
    </xf>
    <xf numFmtId="0" fontId="13" fillId="0" borderId="0" xfId="200" applyNumberFormat="1" applyFont="1" applyFill="1" applyAlignment="1" applyProtection="1">
      <alignment/>
      <protection locked="0"/>
    </xf>
    <xf numFmtId="0" fontId="0" fillId="0" borderId="0" xfId="200" applyNumberFormat="1" applyFont="1" applyFill="1" applyAlignment="1">
      <alignment/>
      <protection/>
    </xf>
    <xf numFmtId="10" fontId="13" fillId="0" borderId="0" xfId="204" applyNumberFormat="1" applyFont="1" applyAlignment="1" applyProtection="1">
      <alignment horizontal="center"/>
      <protection locked="0"/>
    </xf>
    <xf numFmtId="168" fontId="13" fillId="0" borderId="0" xfId="71" applyNumberFormat="1" applyFont="1" applyAlignment="1" applyProtection="1">
      <alignment/>
      <protection locked="0"/>
    </xf>
    <xf numFmtId="177" fontId="13" fillId="0" borderId="25" xfId="204" applyNumberFormat="1" applyFont="1" applyBorder="1" applyAlignment="1">
      <alignment/>
      <protection/>
    </xf>
    <xf numFmtId="168" fontId="13" fillId="0" borderId="0" xfId="204" applyNumberFormat="1" applyFont="1" applyAlignment="1" applyProtection="1">
      <alignment/>
      <protection locked="0"/>
    </xf>
    <xf numFmtId="168" fontId="13" fillId="0" borderId="0" xfId="204" applyNumberFormat="1" applyFont="1" applyAlignment="1">
      <alignment/>
      <protection/>
    </xf>
    <xf numFmtId="0" fontId="13" fillId="0" borderId="0" xfId="204" applyNumberFormat="1" applyFont="1" applyAlignment="1">
      <alignment/>
      <protection/>
    </xf>
    <xf numFmtId="0" fontId="13" fillId="0" borderId="0" xfId="200" applyNumberFormat="1" applyFont="1" applyFill="1" applyAlignment="1">
      <alignment/>
      <protection/>
    </xf>
    <xf numFmtId="0" fontId="0" fillId="0" borderId="0" xfId="0" applyNumberFormat="1" applyAlignment="1">
      <alignment horizontal="right"/>
    </xf>
    <xf numFmtId="0" fontId="13" fillId="0" borderId="26" xfId="206" applyNumberFormat="1" applyFont="1" applyBorder="1" applyAlignment="1" applyProtection="1">
      <alignment/>
      <protection locked="0"/>
    </xf>
    <xf numFmtId="0" fontId="13" fillId="0" borderId="28" xfId="206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13" fillId="41" borderId="0" xfId="203" applyNumberFormat="1" applyFont="1" applyFill="1" applyAlignment="1" applyProtection="1">
      <alignment/>
      <protection locked="0"/>
    </xf>
    <xf numFmtId="3" fontId="13" fillId="41" borderId="0" xfId="203" applyNumberFormat="1" applyFont="1" applyFill="1" applyAlignment="1" applyProtection="1">
      <alignment/>
      <protection locked="0"/>
    </xf>
    <xf numFmtId="168" fontId="13" fillId="41" borderId="0" xfId="71" applyNumberFormat="1" applyFont="1" applyFill="1" applyAlignment="1" applyProtection="1">
      <alignment/>
      <protection locked="0"/>
    </xf>
    <xf numFmtId="0" fontId="13" fillId="0" borderId="0" xfId="204" applyFont="1" applyAlignment="1">
      <alignment/>
      <protection/>
    </xf>
    <xf numFmtId="3" fontId="13" fillId="0" borderId="0" xfId="204" applyNumberFormat="1" applyFont="1" applyAlignment="1">
      <alignment/>
      <protection/>
    </xf>
    <xf numFmtId="0" fontId="13" fillId="0" borderId="0" xfId="204" applyFont="1" applyAlignment="1" applyProtection="1">
      <alignment/>
      <protection locked="0"/>
    </xf>
    <xf numFmtId="168" fontId="13" fillId="41" borderId="0" xfId="204" applyNumberFormat="1" applyFont="1" applyFill="1" applyAlignment="1" applyProtection="1">
      <alignment/>
      <protection locked="0"/>
    </xf>
    <xf numFmtId="0" fontId="13" fillId="0" borderId="0" xfId="204" applyNumberFormat="1" applyFont="1" applyFill="1" applyAlignment="1" applyProtection="1">
      <alignment/>
      <protection locked="0"/>
    </xf>
    <xf numFmtId="0" fontId="8" fillId="0" borderId="0" xfId="201">
      <alignment/>
      <protection/>
    </xf>
    <xf numFmtId="0" fontId="1" fillId="0" borderId="0" xfId="201" applyFont="1">
      <alignment/>
      <protection/>
    </xf>
    <xf numFmtId="0" fontId="18" fillId="0" borderId="0" xfId="201" applyFont="1" applyAlignment="1">
      <alignment horizontal="center"/>
      <protection/>
    </xf>
    <xf numFmtId="0" fontId="8" fillId="0" borderId="0" xfId="201" applyAlignment="1">
      <alignment horizontal="center"/>
      <protection/>
    </xf>
    <xf numFmtId="173" fontId="8" fillId="0" borderId="0" xfId="201" applyNumberFormat="1" applyAlignment="1">
      <alignment horizontal="center"/>
      <protection/>
    </xf>
    <xf numFmtId="0" fontId="18" fillId="0" borderId="0" xfId="201" applyFont="1">
      <alignment/>
      <protection/>
    </xf>
    <xf numFmtId="0" fontId="72" fillId="53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179" fontId="38" fillId="0" borderId="0" xfId="0" applyNumberFormat="1" applyFont="1" applyAlignment="1">
      <alignment horizontal="left"/>
    </xf>
    <xf numFmtId="179" fontId="38" fillId="0" borderId="0" xfId="0" applyNumberFormat="1" applyFont="1" applyAlignment="1">
      <alignment horizontal="right"/>
    </xf>
    <xf numFmtId="179" fontId="73" fillId="0" borderId="0" xfId="0" applyNumberFormat="1" applyFont="1" applyAlignment="1">
      <alignment horizontal="right"/>
    </xf>
    <xf numFmtId="49" fontId="38" fillId="0" borderId="0" xfId="0" applyNumberFormat="1" applyFont="1" applyAlignment="1">
      <alignment horizontal="left" wrapText="1"/>
    </xf>
    <xf numFmtId="49" fontId="38" fillId="0" borderId="0" xfId="0" applyNumberFormat="1" applyFont="1" applyAlignment="1">
      <alignment horizontal="right" wrapText="1"/>
    </xf>
    <xf numFmtId="49" fontId="73" fillId="0" borderId="0" xfId="0" applyNumberFormat="1" applyFont="1" applyAlignment="1">
      <alignment horizontal="right" wrapText="1"/>
    </xf>
    <xf numFmtId="179" fontId="39" fillId="0" borderId="0" xfId="0" applyNumberFormat="1" applyFont="1" applyAlignment="1">
      <alignment horizontal="left"/>
    </xf>
    <xf numFmtId="0" fontId="13" fillId="0" borderId="0" xfId="0" applyNumberFormat="1" applyFont="1" applyAlignment="1" quotePrefix="1">
      <alignment horizontal="left"/>
    </xf>
    <xf numFmtId="3" fontId="13" fillId="0" borderId="0" xfId="203" applyNumberFormat="1" applyFont="1" applyFill="1" applyAlignment="1" applyProtection="1">
      <alignment/>
      <protection locked="0"/>
    </xf>
    <xf numFmtId="3" fontId="13" fillId="0" borderId="0" xfId="203" applyNumberFormat="1" applyFont="1" applyFill="1" applyAlignment="1">
      <alignment/>
      <protection/>
    </xf>
    <xf numFmtId="179" fontId="3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4" fillId="0" borderId="0" xfId="200" applyNumberFormat="1" applyFont="1" applyAlignment="1">
      <alignment/>
      <protection/>
    </xf>
    <xf numFmtId="0" fontId="74" fillId="0" borderId="0" xfId="200" applyNumberFormat="1" applyFont="1" applyFill="1" applyAlignment="1">
      <alignment/>
      <protection/>
    </xf>
    <xf numFmtId="0" fontId="75" fillId="0" borderId="0" xfId="204" applyNumberFormat="1" applyFont="1" applyAlignment="1">
      <alignment/>
      <protection/>
    </xf>
    <xf numFmtId="43" fontId="0" fillId="0" borderId="0" xfId="71" applyFont="1" applyAlignment="1">
      <alignment/>
    </xf>
    <xf numFmtId="42" fontId="0" fillId="0" borderId="0" xfId="0" applyNumberFormat="1" applyAlignment="1">
      <alignment/>
    </xf>
    <xf numFmtId="10" fontId="0" fillId="0" borderId="0" xfId="0" applyNumberFormat="1" applyAlignment="1">
      <alignment/>
    </xf>
    <xf numFmtId="176" fontId="0" fillId="0" borderId="0" xfId="0" applyNumberFormat="1" applyAlignment="1">
      <alignment/>
    </xf>
    <xf numFmtId="10" fontId="0" fillId="0" borderId="0" xfId="217" applyNumberFormat="1" applyFont="1" applyAlignment="1">
      <alignment/>
    </xf>
    <xf numFmtId="174" fontId="0" fillId="0" borderId="0" xfId="217" applyNumberFormat="1" applyFont="1" applyAlignment="1">
      <alignment/>
    </xf>
    <xf numFmtId="179" fontId="38" fillId="54" borderId="29" xfId="0" applyNumberFormat="1" applyFont="1" applyFill="1" applyBorder="1" applyAlignment="1">
      <alignment horizontal="left"/>
    </xf>
    <xf numFmtId="10" fontId="38" fillId="54" borderId="30" xfId="217" applyNumberFormat="1" applyFont="1" applyFill="1" applyBorder="1" applyAlignment="1">
      <alignment horizontal="right"/>
    </xf>
    <xf numFmtId="179" fontId="38" fillId="54" borderId="31" xfId="0" applyNumberFormat="1" applyFont="1" applyFill="1" applyBorder="1" applyAlignment="1">
      <alignment horizontal="left"/>
    </xf>
    <xf numFmtId="10" fontId="38" fillId="54" borderId="32" xfId="217" applyNumberFormat="1" applyFont="1" applyFill="1" applyBorder="1" applyAlignment="1">
      <alignment horizontal="right"/>
    </xf>
    <xf numFmtId="179" fontId="38" fillId="54" borderId="33" xfId="0" applyNumberFormat="1" applyFont="1" applyFill="1" applyBorder="1" applyAlignment="1">
      <alignment horizontal="left"/>
    </xf>
    <xf numFmtId="10" fontId="38" fillId="54" borderId="12" xfId="217" applyNumberFormat="1" applyFont="1" applyFill="1" applyBorder="1" applyAlignment="1">
      <alignment horizontal="right"/>
    </xf>
    <xf numFmtId="43" fontId="13" fillId="0" borderId="0" xfId="0" applyNumberFormat="1" applyFont="1" applyAlignment="1" applyProtection="1">
      <alignment/>
      <protection locked="0"/>
    </xf>
    <xf numFmtId="0" fontId="13" fillId="0" borderId="0" xfId="208" applyNumberFormat="1" applyFont="1" applyFill="1" applyAlignment="1">
      <alignment horizontal="left"/>
      <protection/>
    </xf>
    <xf numFmtId="0" fontId="13" fillId="0" borderId="0" xfId="0" applyNumberFormat="1" applyFont="1" applyAlignment="1" applyProtection="1" quotePrefix="1">
      <alignment horizontal="left"/>
      <protection locked="0"/>
    </xf>
    <xf numFmtId="0" fontId="13" fillId="0" borderId="0" xfId="0" applyNumberFormat="1" applyFont="1" applyAlignment="1" applyProtection="1">
      <alignment horizontal="left"/>
      <protection locked="0"/>
    </xf>
    <xf numFmtId="0" fontId="74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3" fillId="0" borderId="0" xfId="0" applyNumberFormat="1" applyFont="1" applyFill="1" applyAlignment="1" applyProtection="1">
      <alignment/>
      <protection locked="0"/>
    </xf>
    <xf numFmtId="0" fontId="14" fillId="0" borderId="20" xfId="0" applyNumberFormat="1" applyFont="1" applyFill="1" applyBorder="1" applyAlignment="1">
      <alignment/>
    </xf>
    <xf numFmtId="0" fontId="13" fillId="0" borderId="0" xfId="0" applyNumberFormat="1" applyFont="1" applyFill="1" applyAlignment="1" applyProtection="1">
      <alignment horizontal="left"/>
      <protection locked="0"/>
    </xf>
    <xf numFmtId="0" fontId="13" fillId="0" borderId="0" xfId="157" applyNumberFormat="1" applyFont="1" applyFill="1" applyBorder="1" applyAlignment="1">
      <alignment/>
      <protection/>
    </xf>
    <xf numFmtId="10" fontId="0" fillId="0" borderId="34" xfId="217" applyNumberFormat="1" applyFont="1" applyBorder="1" applyAlignment="1">
      <alignment/>
    </xf>
    <xf numFmtId="176" fontId="0" fillId="0" borderId="0" xfId="110" applyNumberFormat="1" applyFont="1" applyAlignment="1">
      <alignment/>
    </xf>
    <xf numFmtId="41" fontId="8" fillId="53" borderId="0" xfId="81" applyFont="1" applyFill="1" applyAlignment="1">
      <alignment/>
    </xf>
    <xf numFmtId="42" fontId="8" fillId="53" borderId="0" xfId="109" applyFont="1" applyFill="1" applyAlignment="1">
      <alignment/>
    </xf>
    <xf numFmtId="10" fontId="0" fillId="0" borderId="0" xfId="217" applyNumberFormat="1" applyFont="1" applyAlignment="1">
      <alignment/>
    </xf>
    <xf numFmtId="176" fontId="8" fillId="53" borderId="0" xfId="110" applyNumberFormat="1" applyFont="1" applyFill="1" applyAlignment="1">
      <alignment/>
    </xf>
    <xf numFmtId="176" fontId="1" fillId="0" borderId="0" xfId="110" applyNumberFormat="1" applyFont="1" applyAlignment="1">
      <alignment/>
    </xf>
    <xf numFmtId="10" fontId="8" fillId="55" borderId="34" xfId="217" applyNumberFormat="1" applyFont="1" applyFill="1" applyBorder="1" applyAlignment="1">
      <alignment/>
    </xf>
    <xf numFmtId="176" fontId="8" fillId="55" borderId="0" xfId="110" applyNumberFormat="1" applyFont="1" applyFill="1" applyAlignment="1">
      <alignment/>
    </xf>
    <xf numFmtId="176" fontId="1" fillId="55" borderId="0" xfId="110" applyNumberFormat="1" applyFont="1" applyFill="1" applyAlignment="1">
      <alignment/>
    </xf>
    <xf numFmtId="0" fontId="75" fillId="0" borderId="0" xfId="0" applyFont="1" applyFill="1" applyAlignment="1">
      <alignment/>
    </xf>
    <xf numFmtId="0" fontId="0" fillId="0" borderId="0" xfId="0" applyFont="1" applyAlignment="1">
      <alignment/>
    </xf>
    <xf numFmtId="0" fontId="76" fillId="0" borderId="0" xfId="201" applyFont="1">
      <alignment/>
      <protection/>
    </xf>
    <xf numFmtId="37" fontId="13" fillId="0" borderId="0" xfId="0" applyNumberFormat="1" applyFont="1" applyFill="1" applyAlignment="1">
      <alignment/>
    </xf>
    <xf numFmtId="0" fontId="13" fillId="0" borderId="0" xfId="0" applyNumberFormat="1" applyFont="1" applyAlignment="1">
      <alignment horizontal="left"/>
    </xf>
    <xf numFmtId="37" fontId="13" fillId="0" borderId="0" xfId="200" applyNumberFormat="1" applyFont="1" applyAlignment="1" applyProtection="1">
      <alignment/>
      <protection locked="0"/>
    </xf>
    <xf numFmtId="37" fontId="0" fillId="0" borderId="0" xfId="200" applyNumberFormat="1" applyFont="1" applyAlignment="1">
      <alignment/>
      <protection/>
    </xf>
    <xf numFmtId="0" fontId="7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 quotePrefix="1">
      <alignment horizontal="left"/>
      <protection locked="0"/>
    </xf>
    <xf numFmtId="0" fontId="13" fillId="0" borderId="0" xfId="0" applyNumberFormat="1" applyFont="1" applyFill="1" applyAlignment="1">
      <alignment/>
    </xf>
    <xf numFmtId="37" fontId="13" fillId="0" borderId="0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>
      <alignment/>
    </xf>
    <xf numFmtId="176" fontId="13" fillId="0" borderId="0" xfId="107" applyNumberFormat="1" applyFont="1" applyFill="1" applyBorder="1" applyAlignment="1" applyProtection="1">
      <alignment/>
      <protection locked="0"/>
    </xf>
    <xf numFmtId="176" fontId="13" fillId="0" borderId="0" xfId="107" applyNumberFormat="1" applyFont="1" applyFill="1" applyAlignment="1">
      <alignment/>
    </xf>
    <xf numFmtId="176" fontId="13" fillId="0" borderId="0" xfId="107" applyNumberFormat="1" applyFont="1" applyAlignment="1">
      <alignment/>
    </xf>
    <xf numFmtId="176" fontId="13" fillId="0" borderId="0" xfId="107" applyNumberFormat="1" applyFont="1" applyBorder="1" applyAlignment="1" applyProtection="1">
      <alignment/>
      <protection locked="0"/>
    </xf>
    <xf numFmtId="176" fontId="13" fillId="0" borderId="22" xfId="107" applyNumberFormat="1" applyFont="1" applyBorder="1" applyAlignment="1" applyProtection="1">
      <alignment/>
      <protection locked="0"/>
    </xf>
    <xf numFmtId="43" fontId="13" fillId="0" borderId="0" xfId="71" applyFont="1" applyFill="1" applyAlignment="1">
      <alignment/>
    </xf>
    <xf numFmtId="43" fontId="13" fillId="0" borderId="0" xfId="71" applyFont="1" applyAlignment="1" applyProtection="1">
      <alignment/>
      <protection locked="0"/>
    </xf>
    <xf numFmtId="43" fontId="13" fillId="0" borderId="0" xfId="71" applyFont="1" applyBorder="1" applyAlignment="1" applyProtection="1">
      <alignment/>
      <protection locked="0"/>
    </xf>
    <xf numFmtId="43" fontId="13" fillId="0" borderId="0" xfId="71" applyFont="1" applyAlignment="1">
      <alignment/>
    </xf>
    <xf numFmtId="43" fontId="13" fillId="0" borderId="22" xfId="71" applyFont="1" applyBorder="1" applyAlignment="1" applyProtection="1">
      <alignment/>
      <protection locked="0"/>
    </xf>
    <xf numFmtId="176" fontId="13" fillId="0" borderId="26" xfId="107" applyNumberFormat="1" applyFont="1" applyBorder="1" applyAlignment="1">
      <alignment/>
    </xf>
    <xf numFmtId="176" fontId="13" fillId="0" borderId="4" xfId="107" applyNumberFormat="1" applyFont="1" applyFill="1" applyBorder="1" applyAlignment="1" applyProtection="1">
      <alignment/>
      <protection locked="0"/>
    </xf>
    <xf numFmtId="176" fontId="13" fillId="0" borderId="4" xfId="107" applyNumberFormat="1" applyFont="1" applyBorder="1" applyAlignment="1">
      <alignment/>
    </xf>
    <xf numFmtId="176" fontId="13" fillId="0" borderId="0" xfId="107" applyNumberFormat="1" applyFont="1" applyAlignment="1">
      <alignment/>
    </xf>
    <xf numFmtId="176" fontId="13" fillId="0" borderId="4" xfId="107" applyNumberFormat="1" applyFont="1" applyBorder="1" applyAlignment="1" applyProtection="1">
      <alignment/>
      <protection locked="0"/>
    </xf>
    <xf numFmtId="176" fontId="13" fillId="0" borderId="26" xfId="107" applyNumberFormat="1" applyFont="1" applyBorder="1" applyAlignment="1" applyProtection="1">
      <alignment/>
      <protection locked="0"/>
    </xf>
    <xf numFmtId="43" fontId="13" fillId="0" borderId="0" xfId="7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center"/>
      <protection locked="0"/>
    </xf>
    <xf numFmtId="43" fontId="13" fillId="0" borderId="22" xfId="71" applyFont="1" applyBorder="1" applyAlignment="1">
      <alignment/>
    </xf>
    <xf numFmtId="0" fontId="13" fillId="0" borderId="0" xfId="0" applyNumberFormat="1" applyFont="1" applyAlignment="1">
      <alignment horizontal="center"/>
    </xf>
    <xf numFmtId="43" fontId="13" fillId="0" borderId="0" xfId="71" applyFont="1" applyFill="1" applyAlignment="1" applyProtection="1">
      <alignment/>
      <protection locked="0"/>
    </xf>
    <xf numFmtId="0" fontId="0" fillId="0" borderId="0" xfId="0" applyNumberFormat="1" applyFont="1" applyAlignment="1">
      <alignment/>
    </xf>
    <xf numFmtId="176" fontId="0" fillId="0" borderId="0" xfId="107" applyNumberFormat="1" applyFont="1" applyAlignment="1">
      <alignment/>
    </xf>
    <xf numFmtId="176" fontId="13" fillId="0" borderId="0" xfId="107" applyNumberFormat="1" applyFont="1" applyFill="1" applyAlignment="1" applyProtection="1">
      <alignment/>
      <protection locked="0"/>
    </xf>
    <xf numFmtId="43" fontId="13" fillId="0" borderId="26" xfId="71" applyFont="1" applyBorder="1" applyAlignment="1" applyProtection="1">
      <alignment/>
      <protection locked="0"/>
    </xf>
    <xf numFmtId="176" fontId="13" fillId="0" borderId="28" xfId="107" applyNumberFormat="1" applyFont="1" applyBorder="1" applyAlignment="1" applyProtection="1">
      <alignment/>
      <protection locked="0"/>
    </xf>
    <xf numFmtId="43" fontId="0" fillId="0" borderId="0" xfId="71" applyFont="1" applyAlignment="1" applyProtection="1">
      <alignment/>
      <protection locked="0"/>
    </xf>
    <xf numFmtId="43" fontId="0" fillId="0" borderId="24" xfId="71" applyFont="1" applyBorder="1" applyAlignment="1" applyProtection="1">
      <alignment/>
      <protection locked="0"/>
    </xf>
    <xf numFmtId="43" fontId="0" fillId="0" borderId="0" xfId="71" applyFont="1" applyAlignment="1" applyProtection="1">
      <alignment/>
      <protection locked="0"/>
    </xf>
    <xf numFmtId="43" fontId="7" fillId="0" borderId="0" xfId="71" applyFont="1" applyAlignment="1">
      <alignment/>
    </xf>
    <xf numFmtId="43" fontId="0" fillId="0" borderId="0" xfId="71" applyFont="1" applyAlignment="1">
      <alignment/>
    </xf>
    <xf numFmtId="43" fontId="0" fillId="0" borderId="0" xfId="71" applyFont="1" applyAlignment="1" applyProtection="1" quotePrefix="1">
      <alignment/>
      <protection locked="0"/>
    </xf>
    <xf numFmtId="176" fontId="0" fillId="0" borderId="24" xfId="107" applyNumberFormat="1" applyFont="1" applyBorder="1" applyAlignment="1" applyProtection="1">
      <alignment/>
      <protection locked="0"/>
    </xf>
    <xf numFmtId="176" fontId="0" fillId="0" borderId="0" xfId="107" applyNumberFormat="1" applyFont="1" applyAlignment="1" applyProtection="1">
      <alignment/>
      <protection locked="0"/>
    </xf>
    <xf numFmtId="176" fontId="0" fillId="0" borderId="24" xfId="107" applyNumberFormat="1" applyFont="1" applyBorder="1" applyAlignment="1" applyProtection="1">
      <alignment/>
      <protection locked="0"/>
    </xf>
    <xf numFmtId="43" fontId="0" fillId="0" borderId="0" xfId="71" applyFont="1" applyAlignment="1" applyProtection="1">
      <alignment horizontal="right"/>
      <protection locked="0"/>
    </xf>
    <xf numFmtId="168" fontId="13" fillId="0" borderId="0" xfId="204" applyNumberFormat="1" applyFont="1" applyFill="1" applyAlignment="1" applyProtection="1">
      <alignment/>
      <protection locked="0"/>
    </xf>
    <xf numFmtId="43" fontId="13" fillId="0" borderId="0" xfId="71" applyFont="1" applyFill="1" applyAlignment="1">
      <alignment/>
    </xf>
    <xf numFmtId="0" fontId="77" fillId="0" borderId="0" xfId="201" applyFont="1">
      <alignment/>
      <protection/>
    </xf>
    <xf numFmtId="37" fontId="74" fillId="0" borderId="0" xfId="200" applyNumberFormat="1" applyFont="1" applyAlignment="1">
      <alignment/>
      <protection/>
    </xf>
    <xf numFmtId="0" fontId="13" fillId="0" borderId="23" xfId="200" applyNumberFormat="1" applyFont="1" applyBorder="1" applyAlignment="1" quotePrefix="1">
      <alignment horizontal="left"/>
      <protection/>
    </xf>
    <xf numFmtId="0" fontId="78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/>
    </xf>
    <xf numFmtId="0" fontId="0" fillId="0" borderId="0" xfId="203" applyNumberFormat="1" applyFont="1" applyAlignment="1" applyProtection="1">
      <alignment/>
      <protection locked="0"/>
    </xf>
    <xf numFmtId="0" fontId="0" fillId="0" borderId="0" xfId="203" applyNumberFormat="1" applyFont="1" applyAlignment="1" quotePrefix="1">
      <alignment horizontal="left"/>
      <protection/>
    </xf>
    <xf numFmtId="0" fontId="0" fillId="0" borderId="0" xfId="203" applyNumberFormat="1" applyFont="1" applyAlignment="1">
      <alignment horizontal="center"/>
      <protection/>
    </xf>
    <xf numFmtId="17" fontId="0" fillId="0" borderId="0" xfId="203" applyNumberFormat="1" applyFont="1" applyAlignment="1">
      <alignment horizontal="center"/>
      <protection/>
    </xf>
    <xf numFmtId="0" fontId="0" fillId="0" borderId="20" xfId="0" applyNumberFormat="1" applyFont="1" applyBorder="1" applyAlignment="1">
      <alignment horizontal="center"/>
    </xf>
    <xf numFmtId="0" fontId="0" fillId="0" borderId="0" xfId="0" applyNumberFormat="1" applyFont="1" applyAlignment="1" applyProtection="1">
      <alignment horizontal="center"/>
      <protection locked="0"/>
    </xf>
    <xf numFmtId="0" fontId="36" fillId="0" borderId="0" xfId="203" applyNumberFormat="1" applyFont="1" applyAlignment="1" applyProtection="1">
      <alignment/>
      <protection locked="0"/>
    </xf>
    <xf numFmtId="176" fontId="0" fillId="0" borderId="0" xfId="107" applyNumberFormat="1" applyFont="1" applyFill="1" applyAlignment="1">
      <alignment horizontal="right"/>
    </xf>
    <xf numFmtId="176" fontId="0" fillId="0" borderId="26" xfId="107" applyNumberFormat="1" applyFont="1" applyBorder="1" applyAlignment="1">
      <alignment/>
    </xf>
    <xf numFmtId="176" fontId="0" fillId="0" borderId="4" xfId="107" applyNumberFormat="1" applyFont="1" applyBorder="1" applyAlignment="1">
      <alignment/>
    </xf>
    <xf numFmtId="3" fontId="0" fillId="0" borderId="0" xfId="203" applyNumberFormat="1" applyFont="1" applyAlignment="1">
      <alignment/>
      <protection/>
    </xf>
    <xf numFmtId="176" fontId="0" fillId="0" borderId="4" xfId="107" applyNumberFormat="1" applyFont="1" applyBorder="1" applyAlignment="1" applyProtection="1">
      <alignment/>
      <protection locked="0"/>
    </xf>
    <xf numFmtId="3" fontId="0" fillId="0" borderId="0" xfId="203" applyNumberFormat="1" applyFont="1" applyAlignment="1" applyProtection="1">
      <alignment/>
      <protection locked="0"/>
    </xf>
    <xf numFmtId="176" fontId="0" fillId="0" borderId="26" xfId="107" applyNumberFormat="1" applyFont="1" applyBorder="1" applyAlignment="1" applyProtection="1">
      <alignment/>
      <protection locked="0"/>
    </xf>
    <xf numFmtId="0" fontId="0" fillId="0" borderId="0" xfId="202" applyNumberFormat="1" applyFont="1" applyAlignment="1" applyProtection="1">
      <alignment/>
      <protection locked="0"/>
    </xf>
    <xf numFmtId="0" fontId="0" fillId="0" borderId="0" xfId="202" applyNumberFormat="1" applyFont="1" applyAlignment="1">
      <alignment horizontal="right"/>
      <protection/>
    </xf>
    <xf numFmtId="0" fontId="0" fillId="0" borderId="20" xfId="202" applyNumberFormat="1" applyFont="1" applyBorder="1" applyAlignment="1">
      <alignment/>
      <protection/>
    </xf>
    <xf numFmtId="0" fontId="0" fillId="0" borderId="0" xfId="202" applyNumberFormat="1" applyFont="1" applyAlignment="1" applyProtection="1" quotePrefix="1">
      <alignment horizontal="left"/>
      <protection locked="0"/>
    </xf>
    <xf numFmtId="0" fontId="0" fillId="0" borderId="0" xfId="202" applyNumberFormat="1" applyFont="1" applyAlignment="1" quotePrefix="1">
      <alignment horizontal="left"/>
      <protection/>
    </xf>
    <xf numFmtId="0" fontId="0" fillId="0" borderId="0" xfId="202" applyNumberFormat="1" applyFont="1" applyAlignment="1" applyProtection="1">
      <alignment horizontal="center"/>
      <protection locked="0"/>
    </xf>
    <xf numFmtId="0" fontId="0" fillId="0" borderId="20" xfId="202" applyNumberFormat="1" applyFont="1" applyBorder="1" applyAlignment="1" applyProtection="1">
      <alignment/>
      <protection locked="0"/>
    </xf>
    <xf numFmtId="176" fontId="0" fillId="0" borderId="26" xfId="107" applyNumberFormat="1" applyFont="1" applyFill="1" applyBorder="1" applyAlignment="1" applyProtection="1">
      <alignment/>
      <protection locked="0"/>
    </xf>
    <xf numFmtId="44" fontId="0" fillId="0" borderId="4" xfId="107" applyFont="1" applyBorder="1" applyAlignment="1" applyProtection="1">
      <alignment/>
      <protection locked="0"/>
    </xf>
    <xf numFmtId="0" fontId="13" fillId="0" borderId="20" xfId="0" applyNumberFormat="1" applyFont="1" applyBorder="1" applyAlignment="1">
      <alignment horizontal="center"/>
    </xf>
    <xf numFmtId="176" fontId="13" fillId="0" borderId="0" xfId="107" applyNumberFormat="1" applyFont="1" applyFill="1" applyAlignment="1">
      <alignment horizontal="right"/>
    </xf>
    <xf numFmtId="0" fontId="13" fillId="0" borderId="0" xfId="203" applyNumberFormat="1" applyFont="1">
      <alignment/>
      <protection/>
    </xf>
    <xf numFmtId="0" fontId="13" fillId="0" borderId="20" xfId="200" applyNumberFormat="1" applyFont="1" applyFill="1" applyBorder="1" applyAlignment="1">
      <alignment/>
      <protection/>
    </xf>
    <xf numFmtId="0" fontId="13" fillId="0" borderId="0" xfId="200" applyNumberFormat="1" applyFont="1" applyFill="1" applyAlignment="1" applyProtection="1">
      <alignment horizontal="centerContinuous"/>
      <protection locked="0"/>
    </xf>
    <xf numFmtId="0" fontId="13" fillId="0" borderId="0" xfId="200" applyNumberFormat="1" applyFont="1" applyFill="1" applyAlignment="1">
      <alignment horizontal="centerContinuous"/>
      <protection/>
    </xf>
    <xf numFmtId="0" fontId="13" fillId="0" borderId="20" xfId="200" applyNumberFormat="1" applyFont="1" applyFill="1" applyBorder="1" applyAlignment="1" applyProtection="1">
      <alignment/>
      <protection locked="0"/>
    </xf>
    <xf numFmtId="0" fontId="13" fillId="0" borderId="23" xfId="200" applyNumberFormat="1" applyFont="1" applyBorder="1" applyAlignment="1">
      <alignment/>
      <protection/>
    </xf>
    <xf numFmtId="166" fontId="13" fillId="0" borderId="0" xfId="0" applyNumberFormat="1" applyFont="1" applyFill="1" applyAlignment="1">
      <alignment/>
    </xf>
    <xf numFmtId="166" fontId="13" fillId="0" borderId="0" xfId="204" applyNumberFormat="1" applyFont="1" applyFill="1" applyAlignment="1" applyProtection="1">
      <alignment/>
      <protection locked="0"/>
    </xf>
    <xf numFmtId="0" fontId="13" fillId="0" borderId="0" xfId="205" applyNumberFormat="1" applyFont="1" applyAlignment="1">
      <alignment horizontal="left"/>
      <protection/>
    </xf>
    <xf numFmtId="0" fontId="13" fillId="0" borderId="0" xfId="205" applyFont="1">
      <alignment/>
      <protection/>
    </xf>
    <xf numFmtId="0" fontId="13" fillId="0" borderId="23" xfId="205" applyNumberFormat="1" applyFont="1" applyBorder="1" applyAlignment="1">
      <alignment/>
      <protection/>
    </xf>
    <xf numFmtId="0" fontId="13" fillId="0" borderId="23" xfId="205" applyNumberFormat="1" applyFont="1" applyBorder="1" applyAlignment="1">
      <alignment horizontal="fill"/>
      <protection/>
    </xf>
    <xf numFmtId="0" fontId="13" fillId="0" borderId="23" xfId="205" applyFont="1" applyBorder="1">
      <alignment/>
      <protection/>
    </xf>
    <xf numFmtId="0" fontId="13" fillId="0" borderId="0" xfId="205" applyNumberFormat="1" applyFont="1" applyBorder="1">
      <alignment/>
      <protection/>
    </xf>
    <xf numFmtId="0" fontId="13" fillId="0" borderId="0" xfId="205" applyNumberFormat="1" applyFont="1" applyBorder="1" applyAlignment="1">
      <alignment/>
      <protection/>
    </xf>
    <xf numFmtId="0" fontId="13" fillId="0" borderId="0" xfId="205" applyNumberFormat="1" applyFont="1">
      <alignment/>
      <protection/>
    </xf>
    <xf numFmtId="0" fontId="13" fillId="0" borderId="0" xfId="0" applyNumberFormat="1" applyFont="1" applyAlignment="1">
      <alignment vertical="top"/>
    </xf>
    <xf numFmtId="0" fontId="58" fillId="0" borderId="20" xfId="204" applyNumberFormat="1" applyFont="1" applyBorder="1" applyAlignment="1">
      <alignment/>
      <protection/>
    </xf>
    <xf numFmtId="0" fontId="13" fillId="0" borderId="0" xfId="205" applyNumberFormat="1" applyFont="1" applyAlignment="1">
      <alignment horizontal="center"/>
      <protection/>
    </xf>
    <xf numFmtId="0" fontId="13" fillId="0" borderId="23" xfId="205" applyNumberFormat="1" applyFont="1" applyBorder="1" applyAlignment="1">
      <alignment horizontal="center"/>
      <protection/>
    </xf>
    <xf numFmtId="0" fontId="13" fillId="0" borderId="25" xfId="205" applyNumberFormat="1" applyFont="1" applyBorder="1" applyAlignment="1">
      <alignment horizontal="center"/>
      <protection/>
    </xf>
    <xf numFmtId="0" fontId="13" fillId="0" borderId="25" xfId="205" applyNumberFormat="1" applyFont="1" applyBorder="1">
      <alignment/>
      <protection/>
    </xf>
    <xf numFmtId="3" fontId="13" fillId="0" borderId="25" xfId="205" applyNumberFormat="1" applyFont="1" applyBorder="1">
      <alignment/>
      <protection/>
    </xf>
    <xf numFmtId="176" fontId="13" fillId="0" borderId="25" xfId="107" applyNumberFormat="1" applyFont="1" applyBorder="1" applyAlignment="1">
      <alignment/>
    </xf>
    <xf numFmtId="176" fontId="13" fillId="0" borderId="25" xfId="107" applyNumberFormat="1" applyFont="1" applyBorder="1" applyAlignment="1">
      <alignment/>
    </xf>
    <xf numFmtId="0" fontId="13" fillId="0" borderId="27" xfId="205" applyNumberFormat="1" applyFont="1" applyBorder="1">
      <alignment/>
      <protection/>
    </xf>
    <xf numFmtId="176" fontId="13" fillId="0" borderId="27" xfId="107" applyNumberFormat="1" applyFont="1" applyBorder="1" applyAlignment="1">
      <alignment/>
    </xf>
    <xf numFmtId="3" fontId="13" fillId="0" borderId="0" xfId="205" applyNumberFormat="1" applyFont="1">
      <alignment/>
      <protection/>
    </xf>
    <xf numFmtId="0" fontId="13" fillId="0" borderId="0" xfId="205" applyNumberFormat="1" applyFont="1" applyAlignment="1">
      <alignment horizontal="fill"/>
      <protection/>
    </xf>
    <xf numFmtId="0" fontId="14" fillId="0" borderId="0" xfId="205" applyNumberFormat="1" applyFont="1" applyAlignment="1">
      <alignment/>
      <protection/>
    </xf>
    <xf numFmtId="0" fontId="15" fillId="0" borderId="0" xfId="205" applyNumberFormat="1" applyFont="1" applyAlignment="1">
      <alignment horizontal="center"/>
      <protection/>
    </xf>
    <xf numFmtId="0" fontId="13" fillId="0" borderId="0" xfId="205" applyNumberFormat="1" applyFont="1" applyAlignment="1">
      <alignment horizontal="right"/>
      <protection/>
    </xf>
    <xf numFmtId="37" fontId="13" fillId="0" borderId="0" xfId="205" applyNumberFormat="1" applyFont="1" applyAlignment="1">
      <alignment/>
      <protection/>
    </xf>
    <xf numFmtId="37" fontId="13" fillId="0" borderId="25" xfId="205" applyNumberFormat="1" applyFont="1" applyBorder="1">
      <alignment/>
      <protection/>
    </xf>
    <xf numFmtId="0" fontId="13" fillId="0" borderId="25" xfId="205" applyNumberFormat="1" applyFont="1" applyBorder="1" applyAlignment="1">
      <alignment/>
      <protection/>
    </xf>
    <xf numFmtId="0" fontId="13" fillId="0" borderId="23" xfId="205" applyNumberFormat="1" applyFont="1" applyBorder="1" applyAlignment="1">
      <alignment horizontal="right"/>
      <protection/>
    </xf>
    <xf numFmtId="0" fontId="13" fillId="0" borderId="0" xfId="0" applyNumberFormat="1" applyFont="1" applyAlignment="1">
      <alignment vertical="top" wrapText="1"/>
    </xf>
    <xf numFmtId="0" fontId="13" fillId="0" borderId="0" xfId="205" applyNumberFormat="1" applyFont="1" applyBorder="1" applyAlignment="1">
      <alignment horizontal="fill"/>
      <protection/>
    </xf>
    <xf numFmtId="37" fontId="13" fillId="0" borderId="0" xfId="205" applyNumberFormat="1" applyFont="1" applyBorder="1" applyAlignment="1">
      <alignment/>
      <protection/>
    </xf>
    <xf numFmtId="43" fontId="13" fillId="0" borderId="0" xfId="71" applyFont="1" applyAlignment="1">
      <alignment/>
    </xf>
    <xf numFmtId="37" fontId="13" fillId="0" borderId="0" xfId="205" applyNumberFormat="1" applyFont="1">
      <alignment/>
      <protection/>
    </xf>
    <xf numFmtId="0" fontId="13" fillId="0" borderId="26" xfId="205" applyNumberFormat="1" applyFont="1" applyBorder="1" applyAlignment="1">
      <alignment horizontal="fill"/>
      <protection/>
    </xf>
    <xf numFmtId="0" fontId="13" fillId="0" borderId="26" xfId="205" applyNumberFormat="1" applyFont="1" applyBorder="1" applyAlignment="1">
      <alignment/>
      <protection/>
    </xf>
    <xf numFmtId="37" fontId="13" fillId="0" borderId="0" xfId="205" applyNumberFormat="1" applyFont="1" applyFill="1" applyAlignment="1">
      <alignment/>
      <protection/>
    </xf>
    <xf numFmtId="37" fontId="13" fillId="0" borderId="26" xfId="205" applyNumberFormat="1" applyFont="1" applyFill="1" applyBorder="1" applyAlignment="1">
      <alignment/>
      <protection/>
    </xf>
    <xf numFmtId="37" fontId="13" fillId="0" borderId="26" xfId="205" applyNumberFormat="1" applyFont="1" applyBorder="1" applyAlignment="1">
      <alignment/>
      <protection/>
    </xf>
    <xf numFmtId="168" fontId="13" fillId="0" borderId="0" xfId="71" applyNumberFormat="1" applyFont="1" applyFill="1" applyAlignment="1">
      <alignment/>
    </xf>
    <xf numFmtId="0" fontId="13" fillId="0" borderId="0" xfId="205" applyNumberFormat="1" applyFont="1" applyFill="1" applyAlignment="1">
      <alignment/>
      <protection/>
    </xf>
    <xf numFmtId="0" fontId="13" fillId="0" borderId="25" xfId="205" applyNumberFormat="1" applyFont="1" applyFill="1" applyBorder="1">
      <alignment/>
      <protection/>
    </xf>
    <xf numFmtId="0" fontId="13" fillId="0" borderId="0" xfId="0" applyFont="1" applyAlignment="1">
      <alignment/>
    </xf>
    <xf numFmtId="168" fontId="13" fillId="0" borderId="0" xfId="71" applyNumberFormat="1" applyFont="1" applyAlignment="1">
      <alignment/>
    </xf>
    <xf numFmtId="37" fontId="13" fillId="0" borderId="25" xfId="205" applyNumberFormat="1" applyFont="1" applyBorder="1" applyAlignment="1">
      <alignment/>
      <protection/>
    </xf>
    <xf numFmtId="37" fontId="13" fillId="0" borderId="25" xfId="205" applyNumberFormat="1" applyFont="1" applyBorder="1" applyAlignment="1">
      <alignment horizontal="fill"/>
      <protection/>
    </xf>
    <xf numFmtId="37" fontId="13" fillId="0" borderId="0" xfId="205" applyNumberFormat="1" applyFont="1" applyAlignment="1">
      <alignment horizontal="fill"/>
      <protection/>
    </xf>
    <xf numFmtId="43" fontId="13" fillId="0" borderId="26" xfId="71" applyFont="1" applyBorder="1" applyAlignment="1">
      <alignment/>
    </xf>
    <xf numFmtId="0" fontId="13" fillId="0" borderId="25" xfId="205" applyNumberFormat="1" applyFont="1" applyBorder="1" applyAlignment="1">
      <alignment horizontal="fill"/>
      <protection/>
    </xf>
    <xf numFmtId="5" fontId="13" fillId="0" borderId="0" xfId="205" applyNumberFormat="1" applyFont="1" applyBorder="1" applyAlignment="1">
      <alignment/>
      <protection/>
    </xf>
    <xf numFmtId="168" fontId="13" fillId="0" borderId="0" xfId="71" applyNumberFormat="1" applyFont="1" applyBorder="1" applyAlignment="1">
      <alignment/>
    </xf>
    <xf numFmtId="3" fontId="13" fillId="0" borderId="0" xfId="205" applyNumberFormat="1" applyFont="1" applyBorder="1">
      <alignment/>
      <protection/>
    </xf>
    <xf numFmtId="2" fontId="13" fillId="0" borderId="0" xfId="205" applyNumberFormat="1" applyFont="1" applyBorder="1" applyAlignment="1">
      <alignment/>
      <protection/>
    </xf>
    <xf numFmtId="37" fontId="13" fillId="0" borderId="0" xfId="205" applyNumberFormat="1" applyFont="1" applyBorder="1" applyAlignment="1">
      <alignment horizontal="fill"/>
      <protection/>
    </xf>
    <xf numFmtId="164" fontId="13" fillId="0" borderId="0" xfId="205" applyNumberFormat="1" applyFont="1">
      <alignment/>
      <protection/>
    </xf>
    <xf numFmtId="176" fontId="0" fillId="0" borderId="0" xfId="107" applyNumberFormat="1" applyFont="1" applyFill="1" applyAlignment="1" applyProtection="1">
      <alignment horizontal="center"/>
      <protection locked="0"/>
    </xf>
    <xf numFmtId="43" fontId="0" fillId="0" borderId="0" xfId="71" applyFont="1" applyAlignment="1" applyProtection="1">
      <alignment horizontal="center"/>
      <protection locked="0"/>
    </xf>
    <xf numFmtId="176" fontId="0" fillId="0" borderId="0" xfId="107" applyNumberFormat="1" applyFont="1" applyAlignment="1" applyProtection="1">
      <alignment horizontal="center"/>
      <protection locked="0"/>
    </xf>
    <xf numFmtId="0" fontId="0" fillId="0" borderId="0" xfId="0" applyNumberFormat="1" applyFont="1" applyAlignment="1">
      <alignment horizontal="center"/>
    </xf>
    <xf numFmtId="166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center"/>
    </xf>
    <xf numFmtId="10" fontId="0" fillId="0" borderId="0" xfId="217" applyNumberFormat="1" applyFont="1" applyFill="1" applyAlignment="1" applyProtection="1">
      <alignment horizontal="center"/>
      <protection locked="0"/>
    </xf>
    <xf numFmtId="10" fontId="0" fillId="0" borderId="0" xfId="217" applyNumberFormat="1" applyFont="1" applyAlignment="1" applyProtection="1">
      <alignment horizontal="center"/>
      <protection locked="0"/>
    </xf>
    <xf numFmtId="37" fontId="0" fillId="0" borderId="0" xfId="0" applyNumberFormat="1" applyFont="1" applyFill="1" applyAlignment="1" applyProtection="1">
      <alignment horizontal="center"/>
      <protection locked="0"/>
    </xf>
    <xf numFmtId="37" fontId="0" fillId="0" borderId="0" xfId="71" applyNumberFormat="1" applyFont="1" applyAlignment="1" applyProtection="1">
      <alignment horizontal="center"/>
      <protection locked="0"/>
    </xf>
    <xf numFmtId="172" fontId="0" fillId="0" borderId="0" xfId="0" applyNumberFormat="1" applyFont="1" applyFill="1" applyAlignment="1" applyProtection="1">
      <alignment horizontal="center"/>
      <protection locked="0"/>
    </xf>
    <xf numFmtId="43" fontId="0" fillId="0" borderId="0" xfId="71" applyFont="1" applyFill="1" applyAlignment="1" applyProtection="1">
      <alignment horizontal="center"/>
      <protection locked="0"/>
    </xf>
    <xf numFmtId="43" fontId="0" fillId="0" borderId="0" xfId="71" applyFont="1" applyFill="1" applyAlignment="1" applyProtection="1">
      <alignment horizontal="center"/>
      <protection locked="0"/>
    </xf>
    <xf numFmtId="37" fontId="0" fillId="0" borderId="0" xfId="0" applyNumberFormat="1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166" fontId="13" fillId="0" borderId="0" xfId="0" applyNumberFormat="1" applyFont="1" applyFill="1" applyAlignment="1">
      <alignment horizontal="right"/>
    </xf>
    <xf numFmtId="166" fontId="13" fillId="0" borderId="22" xfId="0" applyNumberFormat="1" applyFont="1" applyFill="1" applyBorder="1" applyAlignment="1">
      <alignment horizontal="right"/>
    </xf>
    <xf numFmtId="166" fontId="13" fillId="0" borderId="0" xfId="200" applyNumberFormat="1" applyFont="1" applyFill="1" applyAlignment="1" applyProtection="1">
      <alignment horizontal="right"/>
      <protection locked="0"/>
    </xf>
    <xf numFmtId="166" fontId="13" fillId="0" borderId="0" xfId="200" applyNumberFormat="1" applyFont="1" applyFill="1" applyAlignment="1" applyProtection="1">
      <alignment/>
      <protection locked="0"/>
    </xf>
    <xf numFmtId="0" fontId="14" fillId="0" borderId="0" xfId="0" applyNumberFormat="1" applyFont="1" applyFill="1" applyAlignment="1">
      <alignment/>
    </xf>
    <xf numFmtId="166" fontId="8" fillId="0" borderId="0" xfId="201" applyNumberFormat="1" applyAlignment="1">
      <alignment horizontal="center"/>
      <protection/>
    </xf>
    <xf numFmtId="166" fontId="0" fillId="0" borderId="0" xfId="200" applyNumberFormat="1" applyFont="1" applyAlignment="1">
      <alignment/>
      <protection/>
    </xf>
    <xf numFmtId="191" fontId="8" fillId="0" borderId="0" xfId="0" applyNumberFormat="1" applyFont="1" applyFill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0" fontId="13" fillId="0" borderId="0" xfId="200" applyNumberFormat="1" applyFont="1" applyAlignment="1">
      <alignment horizontal="center"/>
      <protection/>
    </xf>
    <xf numFmtId="0" fontId="13" fillId="0" borderId="20" xfId="200" applyNumberFormat="1" applyFont="1" applyBorder="1" applyAlignment="1" applyProtection="1">
      <alignment horizontal="center"/>
      <protection locked="0"/>
    </xf>
    <xf numFmtId="0" fontId="13" fillId="0" borderId="0" xfId="204" applyNumberFormat="1" applyFont="1" applyAlignment="1">
      <alignment horizontal="center"/>
      <protection/>
    </xf>
    <xf numFmtId="0" fontId="13" fillId="0" borderId="20" xfId="204" applyNumberFormat="1" applyFont="1" applyBorder="1" applyAlignment="1" applyProtection="1">
      <alignment horizontal="center"/>
      <protection locked="0"/>
    </xf>
    <xf numFmtId="0" fontId="13" fillId="0" borderId="0" xfId="205" applyNumberFormat="1" applyFont="1" applyBorder="1" applyAlignment="1">
      <alignment horizontal="center"/>
      <protection/>
    </xf>
    <xf numFmtId="0" fontId="13" fillId="0" borderId="0" xfId="206" applyNumberFormat="1" applyFont="1" applyAlignment="1" applyProtection="1">
      <alignment horizontal="center"/>
      <protection locked="0"/>
    </xf>
    <xf numFmtId="0" fontId="13" fillId="0" borderId="20" xfId="206" applyNumberFormat="1" applyFont="1" applyBorder="1" applyAlignment="1" applyProtection="1">
      <alignment horizontal="center"/>
      <protection locked="0"/>
    </xf>
    <xf numFmtId="0" fontId="17" fillId="0" borderId="23" xfId="0" applyNumberFormat="1" applyFont="1" applyBorder="1" applyAlignment="1">
      <alignment horizontal="center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208" fontId="13" fillId="0" borderId="0" xfId="0" applyNumberFormat="1" applyFont="1" applyFill="1" applyBorder="1" applyAlignment="1" applyProtection="1">
      <alignment horizontal="center"/>
      <protection locked="0"/>
    </xf>
    <xf numFmtId="167" fontId="13" fillId="0" borderId="0" xfId="0" applyNumberFormat="1" applyFont="1" applyFill="1" applyBorder="1" applyAlignment="1" applyProtection="1">
      <alignment horizontal="center"/>
      <protection locked="0"/>
    </xf>
    <xf numFmtId="208" fontId="13" fillId="0" borderId="22" xfId="0" applyNumberFormat="1" applyFont="1" applyBorder="1" applyAlignment="1" applyProtection="1">
      <alignment horizontal="center"/>
      <protection locked="0"/>
    </xf>
    <xf numFmtId="37" fontId="13" fillId="0" borderId="0" xfId="0" applyNumberFormat="1" applyFont="1" applyAlignment="1">
      <alignment horizontal="center"/>
    </xf>
    <xf numFmtId="43" fontId="13" fillId="0" borderId="0" xfId="71" applyFont="1" applyAlignment="1">
      <alignment horizontal="center"/>
    </xf>
    <xf numFmtId="37" fontId="13" fillId="0" borderId="22" xfId="0" applyNumberFormat="1" applyFont="1" applyBorder="1" applyAlignment="1">
      <alignment horizontal="center"/>
    </xf>
    <xf numFmtId="43" fontId="13" fillId="0" borderId="22" xfId="71" applyFont="1" applyBorder="1" applyAlignment="1">
      <alignment horizontal="center"/>
    </xf>
    <xf numFmtId="43" fontId="13" fillId="0" borderId="0" xfId="71" applyFont="1" applyAlignment="1" applyProtection="1">
      <alignment horizontal="center"/>
      <protection locked="0"/>
    </xf>
    <xf numFmtId="37" fontId="13" fillId="0" borderId="24" xfId="0" applyNumberFormat="1" applyFont="1" applyBorder="1" applyAlignment="1">
      <alignment horizontal="center"/>
    </xf>
    <xf numFmtId="43" fontId="13" fillId="0" borderId="24" xfId="71" applyFont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166" fontId="13" fillId="0" borderId="22" xfId="0" applyNumberFormat="1" applyFont="1" applyBorder="1" applyAlignment="1">
      <alignment horizontal="center"/>
    </xf>
    <xf numFmtId="166" fontId="13" fillId="0" borderId="0" xfId="0" applyNumberFormat="1" applyFont="1" applyAlignment="1" applyProtection="1">
      <alignment horizontal="center"/>
      <protection locked="0"/>
    </xf>
    <xf numFmtId="37" fontId="13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166" fontId="13" fillId="0" borderId="24" xfId="0" applyNumberFormat="1" applyFont="1" applyBorder="1" applyAlignment="1">
      <alignment horizontal="center"/>
    </xf>
    <xf numFmtId="173" fontId="13" fillId="0" borderId="0" xfId="0" applyNumberFormat="1" applyFont="1" applyFill="1" applyAlignment="1">
      <alignment horizontal="center"/>
    </xf>
    <xf numFmtId="37" fontId="13" fillId="0" borderId="26" xfId="0" applyNumberFormat="1" applyFont="1" applyBorder="1" applyAlignment="1">
      <alignment horizontal="center"/>
    </xf>
    <xf numFmtId="173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200" applyNumberFormat="1" applyFont="1" applyFill="1" applyBorder="1" applyAlignment="1" applyProtection="1">
      <alignment horizontal="center"/>
      <protection locked="0"/>
    </xf>
    <xf numFmtId="208" fontId="13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200" applyNumberFormat="1" applyFont="1" applyAlignment="1">
      <alignment horizontal="center"/>
      <protection/>
    </xf>
    <xf numFmtId="0" fontId="0" fillId="0" borderId="0" xfId="200" applyNumberFormat="1" applyFont="1" applyFill="1" applyAlignment="1">
      <alignment horizontal="center"/>
      <protection/>
    </xf>
    <xf numFmtId="166" fontId="13" fillId="0" borderId="0" xfId="200" applyNumberFormat="1" applyFont="1" applyFill="1" applyBorder="1" applyAlignment="1" applyProtection="1">
      <alignment horizontal="center"/>
      <protection locked="0"/>
    </xf>
    <xf numFmtId="166" fontId="13" fillId="0" borderId="22" xfId="0" applyNumberFormat="1" applyFont="1" applyFill="1" applyBorder="1" applyAlignment="1">
      <alignment horizontal="center"/>
    </xf>
    <xf numFmtId="0" fontId="13" fillId="0" borderId="0" xfId="200" applyNumberFormat="1" applyFont="1" applyFill="1" applyAlignment="1" applyProtection="1">
      <alignment horizontal="center"/>
      <protection locked="0"/>
    </xf>
    <xf numFmtId="181" fontId="13" fillId="0" borderId="24" xfId="200" applyNumberFormat="1" applyFont="1" applyFill="1" applyBorder="1" applyAlignment="1" applyProtection="1">
      <alignment horizontal="center"/>
      <protection locked="0"/>
    </xf>
    <xf numFmtId="166" fontId="13" fillId="0" borderId="26" xfId="206" applyNumberFormat="1" applyFont="1" applyBorder="1" applyAlignment="1" applyProtection="1">
      <alignment/>
      <protection locked="0"/>
    </xf>
    <xf numFmtId="165" fontId="13" fillId="0" borderId="0" xfId="0" applyNumberFormat="1" applyFont="1" applyFill="1" applyBorder="1" applyAlignment="1" applyProtection="1">
      <alignment horizontal="center"/>
      <protection locked="0"/>
    </xf>
    <xf numFmtId="165" fontId="13" fillId="0" borderId="22" xfId="0" applyNumberFormat="1" applyFont="1" applyFill="1" applyBorder="1" applyAlignment="1" applyProtection="1">
      <alignment horizontal="center"/>
      <protection locked="0"/>
    </xf>
    <xf numFmtId="165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205" applyNumberFormat="1" applyFont="1" applyAlignment="1" quotePrefix="1">
      <alignment/>
      <protection/>
    </xf>
    <xf numFmtId="0" fontId="13" fillId="0" borderId="0" xfId="206" applyNumberFormat="1" applyFont="1" applyAlignment="1" applyProtection="1" quotePrefix="1">
      <alignment horizontal="center"/>
      <protection locked="0"/>
    </xf>
    <xf numFmtId="0" fontId="13" fillId="0" borderId="0" xfId="0" applyNumberFormat="1" applyFont="1" applyAlignment="1" applyProtection="1" quotePrefix="1">
      <alignment/>
      <protection locked="0"/>
    </xf>
    <xf numFmtId="0" fontId="13" fillId="0" borderId="0" xfId="0" applyNumberFormat="1" applyFont="1" applyAlignment="1">
      <alignment horizontal="right"/>
    </xf>
    <xf numFmtId="37" fontId="13" fillId="0" borderId="0" xfId="71" applyNumberFormat="1" applyFont="1" applyFill="1" applyAlignment="1" applyProtection="1">
      <alignment horizontal="right"/>
      <protection locked="0"/>
    </xf>
    <xf numFmtId="0" fontId="13" fillId="0" borderId="0" xfId="200" applyNumberFormat="1" applyFont="1" applyAlignment="1" applyProtection="1">
      <alignment horizontal="right"/>
      <protection locked="0"/>
    </xf>
    <xf numFmtId="37" fontId="13" fillId="0" borderId="22" xfId="0" applyNumberFormat="1" applyFont="1" applyFill="1" applyBorder="1" applyAlignment="1">
      <alignment horizontal="right"/>
    </xf>
    <xf numFmtId="37" fontId="13" fillId="0" borderId="0" xfId="0" applyNumberFormat="1" applyFont="1" applyFill="1" applyAlignment="1">
      <alignment horizontal="right"/>
    </xf>
    <xf numFmtId="37" fontId="13" fillId="0" borderId="0" xfId="0" applyNumberFormat="1" applyFont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37" fontId="13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13" fillId="0" borderId="0" xfId="200" applyNumberFormat="1" applyFont="1" applyFill="1" applyBorder="1" applyAlignment="1" applyProtection="1">
      <alignment horizontal="right"/>
      <protection locked="0"/>
    </xf>
    <xf numFmtId="0" fontId="0" fillId="0" borderId="0" xfId="200" applyNumberFormat="1" applyFont="1" applyAlignment="1">
      <alignment horizontal="right"/>
      <protection/>
    </xf>
    <xf numFmtId="37" fontId="13" fillId="0" borderId="0" xfId="200" applyNumberFormat="1" applyFont="1" applyFill="1" applyBorder="1" applyAlignment="1" applyProtection="1">
      <alignment horizontal="right"/>
      <protection locked="0"/>
    </xf>
    <xf numFmtId="37" fontId="13" fillId="0" borderId="24" xfId="200" applyNumberFormat="1" applyFont="1" applyBorder="1" applyAlignment="1" applyProtection="1">
      <alignment horizontal="right"/>
      <protection locked="0"/>
    </xf>
    <xf numFmtId="179" fontId="38" fillId="54" borderId="0" xfId="0" applyNumberFormat="1" applyFont="1" applyFill="1" applyBorder="1" applyAlignment="1">
      <alignment horizontal="left"/>
    </xf>
    <xf numFmtId="10" fontId="38" fillId="54" borderId="0" xfId="217" applyNumberFormat="1" applyFont="1" applyFill="1" applyBorder="1" applyAlignment="1">
      <alignment horizontal="right"/>
    </xf>
    <xf numFmtId="167" fontId="13" fillId="0" borderId="26" xfId="0" applyNumberFormat="1" applyFont="1" applyBorder="1" applyAlignment="1" applyProtection="1">
      <alignment horizontal="center"/>
      <protection locked="0"/>
    </xf>
    <xf numFmtId="179" fontId="73" fillId="0" borderId="0" xfId="0" applyNumberFormat="1" applyFont="1" applyAlignment="1">
      <alignment horizontal="left"/>
    </xf>
    <xf numFmtId="179" fontId="38" fillId="56" borderId="0" xfId="0" applyNumberFormat="1" applyFont="1" applyFill="1" applyAlignment="1">
      <alignment horizontal="left"/>
    </xf>
    <xf numFmtId="179" fontId="38" fillId="56" borderId="0" xfId="0" applyNumberFormat="1" applyFont="1" applyFill="1" applyAlignment="1">
      <alignment horizontal="right"/>
    </xf>
    <xf numFmtId="179" fontId="73" fillId="56" borderId="0" xfId="0" applyNumberFormat="1" applyFont="1" applyFill="1" applyAlignment="1">
      <alignment horizontal="right"/>
    </xf>
    <xf numFmtId="0" fontId="0" fillId="56" borderId="0" xfId="0" applyFill="1" applyAlignment="1">
      <alignment/>
    </xf>
    <xf numFmtId="187" fontId="73" fillId="56" borderId="0" xfId="0" applyNumberFormat="1" applyFont="1" applyFill="1" applyAlignment="1">
      <alignment horizontal="right"/>
    </xf>
    <xf numFmtId="187" fontId="38" fillId="56" borderId="0" xfId="0" applyNumberFormat="1" applyFont="1" applyFill="1" applyAlignment="1">
      <alignment horizontal="right"/>
    </xf>
    <xf numFmtId="10" fontId="38" fillId="56" borderId="0" xfId="217" applyNumberFormat="1" applyFont="1" applyFill="1" applyAlignment="1">
      <alignment horizontal="right"/>
    </xf>
    <xf numFmtId="49" fontId="60" fillId="0" borderId="0" xfId="0" applyNumberFormat="1" applyFont="1" applyAlignment="1">
      <alignment horizontal="center" wrapText="1"/>
    </xf>
    <xf numFmtId="180" fontId="60" fillId="0" borderId="0" xfId="0" applyNumberFormat="1" applyFont="1" applyAlignment="1">
      <alignment horizontal="center"/>
    </xf>
    <xf numFmtId="179" fontId="79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179" fontId="38" fillId="57" borderId="0" xfId="0" applyNumberFormat="1" applyFont="1" applyFill="1" applyAlignment="1">
      <alignment horizontal="left"/>
    </xf>
    <xf numFmtId="179" fontId="38" fillId="57" borderId="0" xfId="0" applyNumberFormat="1" applyFont="1" applyFill="1" applyAlignment="1">
      <alignment horizontal="right"/>
    </xf>
    <xf numFmtId="179" fontId="73" fillId="57" borderId="0" xfId="0" applyNumberFormat="1" applyFont="1" applyFill="1" applyAlignment="1">
      <alignment horizontal="right"/>
    </xf>
    <xf numFmtId="0" fontId="0" fillId="57" borderId="0" xfId="0" applyFill="1" applyAlignment="1">
      <alignment/>
    </xf>
    <xf numFmtId="187" fontId="38" fillId="57" borderId="0" xfId="0" applyNumberFormat="1" applyFont="1" applyFill="1" applyAlignment="1">
      <alignment horizontal="right"/>
    </xf>
    <xf numFmtId="10" fontId="38" fillId="57" borderId="0" xfId="217" applyNumberFormat="1" applyFont="1" applyFill="1" applyAlignment="1">
      <alignment horizontal="right"/>
    </xf>
    <xf numFmtId="179" fontId="38" fillId="58" borderId="0" xfId="0" applyNumberFormat="1" applyFont="1" applyFill="1" applyAlignment="1">
      <alignment horizontal="left"/>
    </xf>
    <xf numFmtId="179" fontId="38" fillId="58" borderId="0" xfId="0" applyNumberFormat="1" applyFont="1" applyFill="1" applyAlignment="1">
      <alignment horizontal="right"/>
    </xf>
    <xf numFmtId="179" fontId="73" fillId="58" borderId="0" xfId="0" applyNumberFormat="1" applyFont="1" applyFill="1" applyAlignment="1">
      <alignment horizontal="right"/>
    </xf>
    <xf numFmtId="0" fontId="0" fillId="58" borderId="0" xfId="0" applyFill="1" applyAlignment="1">
      <alignment/>
    </xf>
    <xf numFmtId="43" fontId="38" fillId="58" borderId="0" xfId="71" applyFont="1" applyFill="1" applyAlignment="1">
      <alignment horizontal="right"/>
    </xf>
    <xf numFmtId="187" fontId="73" fillId="58" borderId="0" xfId="0" applyNumberFormat="1" applyFont="1" applyFill="1" applyAlignment="1">
      <alignment horizontal="right"/>
    </xf>
    <xf numFmtId="187" fontId="38" fillId="58" borderId="0" xfId="0" applyNumberFormat="1" applyFont="1" applyFill="1" applyAlignment="1">
      <alignment horizontal="right"/>
    </xf>
    <xf numFmtId="10" fontId="38" fillId="58" borderId="0" xfId="217" applyNumberFormat="1" applyFont="1" applyFill="1" applyAlignment="1">
      <alignment horizontal="right"/>
    </xf>
    <xf numFmtId="179" fontId="0" fillId="0" borderId="0" xfId="0" applyNumberFormat="1" applyAlignment="1">
      <alignment/>
    </xf>
    <xf numFmtId="179" fontId="38" fillId="54" borderId="22" xfId="0" applyNumberFormat="1" applyFont="1" applyFill="1" applyBorder="1" applyAlignment="1">
      <alignment horizontal="left"/>
    </xf>
    <xf numFmtId="179" fontId="38" fillId="54" borderId="26" xfId="0" applyNumberFormat="1" applyFont="1" applyFill="1" applyBorder="1" applyAlignment="1">
      <alignment horizontal="left"/>
    </xf>
    <xf numFmtId="179" fontId="38" fillId="57" borderId="0" xfId="0" applyNumberFormat="1" applyFont="1" applyFill="1" applyAlignment="1">
      <alignment horizontal="center"/>
    </xf>
    <xf numFmtId="179" fontId="38" fillId="58" borderId="0" xfId="0" applyNumberFormat="1" applyFont="1" applyFill="1" applyAlignment="1">
      <alignment horizontal="center"/>
    </xf>
    <xf numFmtId="168" fontId="13" fillId="0" borderId="0" xfId="71" applyNumberFormat="1" applyFont="1" applyFill="1" applyBorder="1" applyAlignment="1" applyProtection="1">
      <alignment/>
      <protection locked="0"/>
    </xf>
    <xf numFmtId="0" fontId="13" fillId="0" borderId="0" xfId="203" applyNumberFormat="1" applyFont="1" applyFill="1" applyAlignment="1" applyProtection="1">
      <alignment/>
      <protection locked="0"/>
    </xf>
    <xf numFmtId="0" fontId="0" fillId="0" borderId="0" xfId="203" applyNumberFormat="1" applyFont="1" applyFill="1" applyAlignment="1" applyProtection="1">
      <alignment/>
      <protection locked="0"/>
    </xf>
    <xf numFmtId="0" fontId="8" fillId="0" borderId="26" xfId="0" applyNumberFormat="1" applyFont="1" applyFill="1" applyBorder="1" applyAlignment="1">
      <alignment horizontal="center"/>
    </xf>
    <xf numFmtId="44" fontId="13" fillId="0" borderId="4" xfId="107" applyNumberFormat="1" applyFont="1" applyBorder="1" applyAlignment="1">
      <alignment/>
    </xf>
    <xf numFmtId="37" fontId="13" fillId="0" borderId="0" xfId="71" applyNumberFormat="1" applyFont="1" applyBorder="1" applyAlignment="1">
      <alignment/>
    </xf>
    <xf numFmtId="0" fontId="76" fillId="59" borderId="0" xfId="0" applyFont="1" applyFill="1" applyAlignment="1">
      <alignment/>
    </xf>
    <xf numFmtId="0" fontId="0" fillId="59" borderId="0" xfId="0" applyFill="1" applyAlignment="1">
      <alignment/>
    </xf>
    <xf numFmtId="0" fontId="0" fillId="59" borderId="35" xfId="0" applyFill="1" applyBorder="1" applyAlignment="1">
      <alignment/>
    </xf>
    <xf numFmtId="0" fontId="0" fillId="59" borderId="35" xfId="0" applyFill="1" applyBorder="1" applyAlignment="1">
      <alignment horizontal="center"/>
    </xf>
    <xf numFmtId="0" fontId="80" fillId="59" borderId="0" xfId="0" applyFont="1" applyFill="1" applyAlignment="1">
      <alignment/>
    </xf>
    <xf numFmtId="0" fontId="80" fillId="59" borderId="0" xfId="0" applyFont="1" applyFill="1" applyAlignment="1">
      <alignment horizontal="center"/>
    </xf>
    <xf numFmtId="0" fontId="81" fillId="59" borderId="0" xfId="0" applyFont="1" applyFill="1" applyAlignment="1">
      <alignment horizontal="center"/>
    </xf>
    <xf numFmtId="0" fontId="81" fillId="59" borderId="36" xfId="0" applyFont="1" applyFill="1" applyBorder="1" applyAlignment="1">
      <alignment horizontal="center"/>
    </xf>
    <xf numFmtId="37" fontId="0" fillId="59" borderId="0" xfId="0" applyNumberFormat="1" applyFill="1" applyAlignment="1">
      <alignment/>
    </xf>
    <xf numFmtId="0" fontId="0" fillId="59" borderId="0" xfId="0" applyFill="1" applyAlignment="1">
      <alignment horizontal="center"/>
    </xf>
    <xf numFmtId="0" fontId="82" fillId="59" borderId="0" xfId="0" applyFont="1" applyFill="1" applyAlignment="1">
      <alignment horizontal="center"/>
    </xf>
    <xf numFmtId="37" fontId="0" fillId="59" borderId="22" xfId="0" applyNumberFormat="1" applyFill="1" applyBorder="1" applyAlignment="1">
      <alignment/>
    </xf>
    <xf numFmtId="37" fontId="0" fillId="59" borderId="22" xfId="0" applyNumberFormat="1" applyFill="1" applyBorder="1" applyAlignment="1">
      <alignment horizontal="center"/>
    </xf>
    <xf numFmtId="37" fontId="0" fillId="59" borderId="28" xfId="0" applyNumberFormat="1" applyFill="1" applyBorder="1" applyAlignment="1">
      <alignment/>
    </xf>
    <xf numFmtId="0" fontId="81" fillId="59" borderId="0" xfId="0" applyFont="1" applyFill="1" applyAlignment="1">
      <alignment/>
    </xf>
    <xf numFmtId="37" fontId="81" fillId="59" borderId="28" xfId="0" applyNumberFormat="1" applyFont="1" applyFill="1" applyBorder="1" applyAlignment="1">
      <alignment/>
    </xf>
    <xf numFmtId="174" fontId="0" fillId="59" borderId="0" xfId="217" applyNumberFormat="1" applyFont="1" applyFill="1" applyAlignment="1">
      <alignment/>
    </xf>
    <xf numFmtId="37" fontId="13" fillId="0" borderId="0" xfId="71" applyNumberFormat="1" applyFont="1" applyFill="1" applyBorder="1" applyAlignment="1">
      <alignment/>
    </xf>
    <xf numFmtId="37" fontId="0" fillId="60" borderId="28" xfId="0" applyNumberFormat="1" applyFill="1" applyBorder="1" applyAlignment="1">
      <alignment/>
    </xf>
    <xf numFmtId="0" fontId="0" fillId="0" borderId="0" xfId="204" applyNumberFormat="1" applyFont="1" applyAlignment="1">
      <alignment horizontal="left"/>
      <protection/>
    </xf>
    <xf numFmtId="0" fontId="14" fillId="0" borderId="0" xfId="205" applyNumberFormat="1" applyFont="1" applyBorder="1" applyAlignment="1">
      <alignment/>
      <protection/>
    </xf>
    <xf numFmtId="0" fontId="13" fillId="0" borderId="0" xfId="205" applyFont="1" applyBorder="1">
      <alignment/>
      <protection/>
    </xf>
    <xf numFmtId="0" fontId="15" fillId="0" borderId="0" xfId="205" applyNumberFormat="1" applyFont="1" applyBorder="1" applyAlignment="1">
      <alignment horizontal="center"/>
      <protection/>
    </xf>
    <xf numFmtId="0" fontId="13" fillId="0" borderId="0" xfId="205" applyFont="1" applyBorder="1" applyAlignment="1">
      <alignment horizontal="center"/>
      <protection/>
    </xf>
    <xf numFmtId="168" fontId="13" fillId="0" borderId="0" xfId="71" applyNumberFormat="1" applyFont="1" applyBorder="1" applyAlignment="1">
      <alignment horizontal="center"/>
    </xf>
    <xf numFmtId="37" fontId="13" fillId="0" borderId="0" xfId="205" applyNumberFormat="1" applyFont="1" applyBorder="1">
      <alignment/>
      <protection/>
    </xf>
    <xf numFmtId="0" fontId="0" fillId="0" borderId="37" xfId="0" applyBorder="1" applyAlignment="1">
      <alignment/>
    </xf>
    <xf numFmtId="0" fontId="0" fillId="0" borderId="37" xfId="0" applyFont="1" applyBorder="1" applyAlignment="1">
      <alignment wrapText="1"/>
    </xf>
    <xf numFmtId="0" fontId="0" fillId="0" borderId="34" xfId="0" applyBorder="1" applyAlignment="1">
      <alignment/>
    </xf>
    <xf numFmtId="42" fontId="0" fillId="0" borderId="34" xfId="0" applyNumberFormat="1" applyBorder="1" applyAlignment="1">
      <alignment/>
    </xf>
    <xf numFmtId="10" fontId="1" fillId="0" borderId="38" xfId="0" applyNumberFormat="1" applyFont="1" applyBorder="1" applyAlignment="1">
      <alignment/>
    </xf>
    <xf numFmtId="42" fontId="7" fillId="0" borderId="38" xfId="0" applyNumberFormat="1" applyFont="1" applyBorder="1" applyAlignment="1">
      <alignment/>
    </xf>
    <xf numFmtId="38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42" fontId="0" fillId="53" borderId="0" xfId="0" applyNumberFormat="1" applyFill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176" fontId="1" fillId="0" borderId="0" xfId="0" applyNumberFormat="1" applyFont="1" applyAlignment="1">
      <alignment/>
    </xf>
    <xf numFmtId="0" fontId="0" fillId="55" borderId="0" xfId="0" applyFill="1" applyAlignment="1">
      <alignment/>
    </xf>
    <xf numFmtId="0" fontId="0" fillId="55" borderId="37" xfId="0" applyFill="1" applyBorder="1" applyAlignment="1">
      <alignment/>
    </xf>
    <xf numFmtId="0" fontId="0" fillId="55" borderId="37" xfId="0" applyFont="1" applyFill="1" applyBorder="1" applyAlignment="1">
      <alignment wrapText="1"/>
    </xf>
    <xf numFmtId="0" fontId="0" fillId="55" borderId="0" xfId="0" applyFont="1" applyFill="1" applyAlignment="1">
      <alignment/>
    </xf>
    <xf numFmtId="0" fontId="0" fillId="55" borderId="34" xfId="0" applyFill="1" applyBorder="1" applyAlignment="1">
      <alignment/>
    </xf>
    <xf numFmtId="42" fontId="0" fillId="55" borderId="34" xfId="0" applyNumberFormat="1" applyFill="1" applyBorder="1" applyAlignment="1">
      <alignment/>
    </xf>
    <xf numFmtId="10" fontId="1" fillId="55" borderId="38" xfId="0" applyNumberFormat="1" applyFont="1" applyFill="1" applyBorder="1" applyAlignment="1">
      <alignment/>
    </xf>
    <xf numFmtId="42" fontId="7" fillId="55" borderId="38" xfId="0" applyNumberFormat="1" applyFont="1" applyFill="1" applyBorder="1" applyAlignment="1">
      <alignment/>
    </xf>
    <xf numFmtId="176" fontId="1" fillId="55" borderId="0" xfId="0" applyNumberFormat="1" applyFont="1" applyFill="1" applyAlignment="1">
      <alignment/>
    </xf>
    <xf numFmtId="37" fontId="13" fillId="0" borderId="0" xfId="205" applyNumberFormat="1" applyFont="1" applyFill="1" applyBorder="1" applyAlignment="1">
      <alignment/>
      <protection/>
    </xf>
    <xf numFmtId="0" fontId="13" fillId="0" borderId="0" xfId="200" applyNumberFormat="1" applyFont="1" applyFill="1" applyAlignment="1" applyProtection="1">
      <alignment horizontal="right"/>
      <protection locked="0"/>
    </xf>
    <xf numFmtId="37" fontId="13" fillId="0" borderId="24" xfId="200" applyNumberFormat="1" applyFont="1" applyFill="1" applyBorder="1" applyAlignment="1" applyProtection="1">
      <alignment horizontal="right"/>
      <protection locked="0"/>
    </xf>
    <xf numFmtId="222" fontId="13" fillId="0" borderId="0" xfId="0" applyNumberFormat="1" applyFont="1" applyAlignment="1" applyProtection="1">
      <alignment/>
      <protection locked="0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168" fontId="0" fillId="53" borderId="0" xfId="71" applyNumberFormat="1" applyFont="1" applyFill="1" applyAlignment="1">
      <alignment/>
    </xf>
    <xf numFmtId="10" fontId="0" fillId="53" borderId="0" xfId="217" applyNumberFormat="1" applyFont="1" applyFill="1" applyAlignment="1">
      <alignment/>
    </xf>
    <xf numFmtId="10" fontId="0" fillId="53" borderId="0" xfId="0" applyNumberFormat="1" applyFill="1" applyAlignment="1">
      <alignment/>
    </xf>
    <xf numFmtId="174" fontId="0" fillId="53" borderId="0" xfId="217" applyNumberFormat="1" applyFont="1" applyFill="1" applyAlignment="1">
      <alignment/>
    </xf>
    <xf numFmtId="168" fontId="0" fillId="0" borderId="0" xfId="71" applyNumberFormat="1" applyFont="1" applyAlignment="1">
      <alignment/>
    </xf>
    <xf numFmtId="168" fontId="0" fillId="0" borderId="26" xfId="71" applyNumberFormat="1" applyFont="1" applyBorder="1" applyAlignment="1">
      <alignment/>
    </xf>
    <xf numFmtId="10" fontId="0" fillId="0" borderId="26" xfId="217" applyNumberFormat="1" applyFont="1" applyBorder="1" applyAlignment="1">
      <alignment/>
    </xf>
    <xf numFmtId="0" fontId="0" fillId="0" borderId="26" xfId="0" applyBorder="1" applyAlignment="1">
      <alignment/>
    </xf>
    <xf numFmtId="0" fontId="13" fillId="0" borderId="39" xfId="0" applyNumberFormat="1" applyFont="1" applyBorder="1" applyAlignment="1" applyProtection="1" quotePrefix="1">
      <alignment horizontal="center"/>
      <protection locked="0"/>
    </xf>
    <xf numFmtId="0" fontId="13" fillId="0" borderId="0" xfId="0" applyNumberFormat="1" applyFont="1" applyAlignment="1">
      <alignment wrapText="1"/>
    </xf>
    <xf numFmtId="0" fontId="13" fillId="0" borderId="0" xfId="0" applyNumberFormat="1" applyFont="1" applyAlignment="1" applyProtection="1">
      <alignment horizontal="center"/>
      <protection locked="0"/>
    </xf>
    <xf numFmtId="0" fontId="14" fillId="0" borderId="0" xfId="203" applyNumberFormat="1" applyFont="1" applyBorder="1" applyAlignment="1" applyProtection="1">
      <alignment horizontal="center"/>
      <protection locked="0"/>
    </xf>
    <xf numFmtId="0" fontId="7" fillId="0" borderId="0" xfId="202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6" fillId="0" borderId="0" xfId="200" applyNumberFormat="1" applyFont="1" applyBorder="1" applyAlignment="1" applyProtection="1">
      <alignment horizontal="center"/>
      <protection locked="0"/>
    </xf>
    <xf numFmtId="0" fontId="14" fillId="0" borderId="0" xfId="205" applyNumberFormat="1" applyFont="1" applyBorder="1" applyAlignment="1" applyProtection="1">
      <alignment horizontal="center"/>
      <protection locked="0"/>
    </xf>
    <xf numFmtId="0" fontId="16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206" applyNumberFormat="1" applyFont="1" applyAlignment="1">
      <alignment/>
      <protection/>
    </xf>
    <xf numFmtId="0" fontId="7" fillId="0" borderId="0" xfId="206" applyNumberFormat="1" applyFont="1" applyBorder="1" applyAlignment="1">
      <alignment/>
      <protection/>
    </xf>
    <xf numFmtId="0" fontId="7" fillId="59" borderId="0" xfId="0" applyFont="1" applyFill="1" applyAlignment="1">
      <alignment/>
    </xf>
    <xf numFmtId="0" fontId="14" fillId="0" borderId="0" xfId="205" applyFont="1">
      <alignment/>
      <protection/>
    </xf>
    <xf numFmtId="0" fontId="7" fillId="0" borderId="0" xfId="204" applyNumberFormat="1" applyFont="1" applyAlignment="1">
      <alignment/>
      <protection/>
    </xf>
    <xf numFmtId="0" fontId="7" fillId="0" borderId="0" xfId="200" applyNumberFormat="1" applyFont="1" applyAlignment="1">
      <alignment/>
      <protection/>
    </xf>
    <xf numFmtId="0" fontId="7" fillId="0" borderId="0" xfId="200" applyNumberFormat="1" applyFont="1" applyFill="1" applyAlignment="1">
      <alignment/>
      <protection/>
    </xf>
    <xf numFmtId="0" fontId="7" fillId="0" borderId="0" xfId="202" applyNumberFormat="1" applyFont="1" applyAlignment="1">
      <alignment/>
      <protection/>
    </xf>
    <xf numFmtId="0" fontId="14" fillId="0" borderId="0" xfId="203" applyNumberFormat="1" applyFont="1" applyAlignment="1">
      <alignment/>
      <protection/>
    </xf>
  </cellXfs>
  <cellStyles count="264">
    <cellStyle name="Normal" xfId="0"/>
    <cellStyle name=" 1" xfId="15"/>
    <cellStyle name="?? [0]_VERA" xfId="16"/>
    <cellStyle name="?????_VERA" xfId="17"/>
    <cellStyle name="??_VERA" xfId="18"/>
    <cellStyle name="_Anhydrous NH3 Costs JVP 9-23-05" xfId="19"/>
    <cellStyle name="_Aqueous NH3 Costs 5-14-07" xfId="20"/>
    <cellStyle name="_Greenville 501G Maj Maint(24K Parts)_5-16-07" xfId="21"/>
    <cellStyle name="_Greenville GE 7FA MM Model 1-11-06" xfId="22"/>
    <cellStyle name="_WestCountyProductionTeam - Priore Staffing &amp; Budget Projection 2006-2013" xfId="23"/>
    <cellStyle name="=C:\WINNT35\SYSTEM32\COMMAND.COM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1 - 20%" xfId="44"/>
    <cellStyle name="Accent1 - 40%" xfId="45"/>
    <cellStyle name="Accent1 - 60%" xfId="46"/>
    <cellStyle name="Accent2" xfId="47"/>
    <cellStyle name="Accent2 - 20%" xfId="48"/>
    <cellStyle name="Accent2 - 40%" xfId="49"/>
    <cellStyle name="Accent2 - 60%" xfId="50"/>
    <cellStyle name="Accent3" xfId="51"/>
    <cellStyle name="Accent3 - 20%" xfId="52"/>
    <cellStyle name="Accent3 - 40%" xfId="53"/>
    <cellStyle name="Accent3 - 60%" xfId="54"/>
    <cellStyle name="Accent4" xfId="55"/>
    <cellStyle name="Accent4 - 20%" xfId="56"/>
    <cellStyle name="Accent4 - 40%" xfId="57"/>
    <cellStyle name="Accent4 - 60%" xfId="58"/>
    <cellStyle name="Accent5" xfId="59"/>
    <cellStyle name="Accent5 - 20%" xfId="60"/>
    <cellStyle name="Accent5 - 40%" xfId="61"/>
    <cellStyle name="Accent5 - 60%" xfId="62"/>
    <cellStyle name="Accent6" xfId="63"/>
    <cellStyle name="Accent6 - 20%" xfId="64"/>
    <cellStyle name="Accent6 - 40%" xfId="65"/>
    <cellStyle name="Accent6 - 60%" xfId="66"/>
    <cellStyle name="Bad" xfId="67"/>
    <cellStyle name="Calc Currency (0)" xfId="68"/>
    <cellStyle name="Calculation" xfId="69"/>
    <cellStyle name="Check Cell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 [0] 2" xfId="81"/>
    <cellStyle name="Comma 2" xfId="82"/>
    <cellStyle name="Comma 2 10" xfId="83"/>
    <cellStyle name="Comma 2 11" xfId="84"/>
    <cellStyle name="Comma 2 12" xfId="85"/>
    <cellStyle name="Comma 2 13" xfId="86"/>
    <cellStyle name="Comma 2 2" xfId="87"/>
    <cellStyle name="Comma 2 3" xfId="88"/>
    <cellStyle name="Comma 2 4" xfId="89"/>
    <cellStyle name="Comma 2 5" xfId="90"/>
    <cellStyle name="Comma 2 6" xfId="91"/>
    <cellStyle name="Comma 2 7" xfId="92"/>
    <cellStyle name="Comma 2 8" xfId="93"/>
    <cellStyle name="Comma 2 9" xfId="94"/>
    <cellStyle name="Comma 3 10" xfId="95"/>
    <cellStyle name="Comma 3 11" xfId="96"/>
    <cellStyle name="Comma 3 12" xfId="97"/>
    <cellStyle name="Comma 3 2" xfId="98"/>
    <cellStyle name="Comma 3 3" xfId="99"/>
    <cellStyle name="Comma 3 4" xfId="100"/>
    <cellStyle name="Comma 3 5" xfId="101"/>
    <cellStyle name="Comma 3 6" xfId="102"/>
    <cellStyle name="Comma 3 7" xfId="103"/>
    <cellStyle name="Comma 3 8" xfId="104"/>
    <cellStyle name="Comma 3 9" xfId="105"/>
    <cellStyle name="Copied" xfId="106"/>
    <cellStyle name="Currency" xfId="107"/>
    <cellStyle name="Currency [0]" xfId="108"/>
    <cellStyle name="Currency [0] 2" xfId="109"/>
    <cellStyle name="Currency 2" xfId="110"/>
    <cellStyle name="Currency 4" xfId="111"/>
    <cellStyle name="Emphasis 1" xfId="112"/>
    <cellStyle name="Emphasis 2" xfId="113"/>
    <cellStyle name="Emphasis 3" xfId="114"/>
    <cellStyle name="Entered" xfId="115"/>
    <cellStyle name="Explanatory Text" xfId="116"/>
    <cellStyle name="Followed Hyperlink" xfId="117"/>
    <cellStyle name="Good" xfId="118"/>
    <cellStyle name="Grey" xfId="119"/>
    <cellStyle name="Header1" xfId="120"/>
    <cellStyle name="Header2" xfId="121"/>
    <cellStyle name="Heading 1" xfId="122"/>
    <cellStyle name="Heading 2" xfId="123"/>
    <cellStyle name="Heading 3" xfId="124"/>
    <cellStyle name="Heading 4" xfId="125"/>
    <cellStyle name="Hyperlink" xfId="126"/>
    <cellStyle name="Input" xfId="127"/>
    <cellStyle name="Input [yellow]" xfId="128"/>
    <cellStyle name="Linked Cell" xfId="129"/>
    <cellStyle name="Neutral" xfId="130"/>
    <cellStyle name="Normal - Style1" xfId="131"/>
    <cellStyle name="Normal 10" xfId="132"/>
    <cellStyle name="Normal 10 10" xfId="133"/>
    <cellStyle name="Normal 10 11" xfId="134"/>
    <cellStyle name="Normal 10 12" xfId="135"/>
    <cellStyle name="Normal 10 2" xfId="136"/>
    <cellStyle name="Normal 10 3" xfId="137"/>
    <cellStyle name="Normal 10 4" xfId="138"/>
    <cellStyle name="Normal 10 5" xfId="139"/>
    <cellStyle name="Normal 10 6" xfId="140"/>
    <cellStyle name="Normal 10 7" xfId="141"/>
    <cellStyle name="Normal 10 8" xfId="142"/>
    <cellStyle name="Normal 10 9" xfId="143"/>
    <cellStyle name="Normal 11" xfId="144"/>
    <cellStyle name="Normal 12" xfId="145"/>
    <cellStyle name="Normal 13" xfId="146"/>
    <cellStyle name="Normal 13 2" xfId="147"/>
    <cellStyle name="Normal 13 3" xfId="148"/>
    <cellStyle name="Normal 13 4" xfId="149"/>
    <cellStyle name="Normal 14" xfId="150"/>
    <cellStyle name="Normal 14 2" xfId="151"/>
    <cellStyle name="Normal 14 3" xfId="152"/>
    <cellStyle name="Normal 14 4" xfId="153"/>
    <cellStyle name="Normal 15" xfId="154"/>
    <cellStyle name="Normal 16" xfId="155"/>
    <cellStyle name="Normal 17" xfId="156"/>
    <cellStyle name="Normal 18" xfId="157"/>
    <cellStyle name="Normal 19" xfId="158"/>
    <cellStyle name="Normal 2" xfId="159"/>
    <cellStyle name="Normal 2 10" xfId="160"/>
    <cellStyle name="Normal 2 11" xfId="161"/>
    <cellStyle name="Normal 2 12" xfId="162"/>
    <cellStyle name="Normal 2 13" xfId="163"/>
    <cellStyle name="Normal 2 14" xfId="164"/>
    <cellStyle name="Normal 2 2" xfId="165"/>
    <cellStyle name="Normal 2 3" xfId="166"/>
    <cellStyle name="Normal 2 4" xfId="167"/>
    <cellStyle name="Normal 2 5" xfId="168"/>
    <cellStyle name="Normal 2 6" xfId="169"/>
    <cellStyle name="Normal 2 7" xfId="170"/>
    <cellStyle name="Normal 2 8" xfId="171"/>
    <cellStyle name="Normal 2 9" xfId="172"/>
    <cellStyle name="Normal 20" xfId="173"/>
    <cellStyle name="Normal 21" xfId="174"/>
    <cellStyle name="Normal 22" xfId="175"/>
    <cellStyle name="Normal 23" xfId="176"/>
    <cellStyle name="Normal 24" xfId="177"/>
    <cellStyle name="Normal 25" xfId="178"/>
    <cellStyle name="Normal 3" xfId="179"/>
    <cellStyle name="Normal 3 2" xfId="180"/>
    <cellStyle name="Normal 4" xfId="181"/>
    <cellStyle name="Normal 4 2" xfId="182"/>
    <cellStyle name="Normal 5" xfId="183"/>
    <cellStyle name="Normal 5 2" xfId="184"/>
    <cellStyle name="Normal 6" xfId="185"/>
    <cellStyle name="Normal 7" xfId="186"/>
    <cellStyle name="Normal 8" xfId="187"/>
    <cellStyle name="Normal 8 10" xfId="188"/>
    <cellStyle name="Normal 8 11" xfId="189"/>
    <cellStyle name="Normal 8 12" xfId="190"/>
    <cellStyle name="Normal 8 2" xfId="191"/>
    <cellStyle name="Normal 8 3" xfId="192"/>
    <cellStyle name="Normal 8 4" xfId="193"/>
    <cellStyle name="Normal 8 5" xfId="194"/>
    <cellStyle name="Normal 8 6" xfId="195"/>
    <cellStyle name="Normal 8 7" xfId="196"/>
    <cellStyle name="Normal 8 8" xfId="197"/>
    <cellStyle name="Normal 8 9" xfId="198"/>
    <cellStyle name="Normal 9" xfId="199"/>
    <cellStyle name="Normal_~7254605" xfId="200"/>
    <cellStyle name="Normal_Book2" xfId="201"/>
    <cellStyle name="Normal_MFR B10 CC Adj 2013" xfId="202"/>
    <cellStyle name="Normal_MFR B8 CC Adj 2013" xfId="203"/>
    <cellStyle name="Normal_MFR C20 CC Adj 2013" xfId="204"/>
    <cellStyle name="Normal_MFR C22 CC Adj 2013" xfId="205"/>
    <cellStyle name="Normal_MFR C23 CC Adj 2013" xfId="206"/>
    <cellStyle name="Normal_MFR C4 '11 WCEC 3 Adj (with backup) Final" xfId="207"/>
    <cellStyle name="Normal_NEW A SCHEDULES" xfId="208"/>
    <cellStyle name="Normal_NEW B SCHEDULES" xfId="209"/>
    <cellStyle name="Note" xfId="210"/>
    <cellStyle name="Output" xfId="211"/>
    <cellStyle name="Output Amounts" xfId="212"/>
    <cellStyle name="Output Column Headings" xfId="213"/>
    <cellStyle name="Output Line Items" xfId="214"/>
    <cellStyle name="Output Report Heading" xfId="215"/>
    <cellStyle name="Output Report Title" xfId="216"/>
    <cellStyle name="Percent" xfId="217"/>
    <cellStyle name="Percent [2]" xfId="218"/>
    <cellStyle name="Percent 2" xfId="219"/>
    <cellStyle name="Percent 2 3" xfId="220"/>
    <cellStyle name="RevList" xfId="221"/>
    <cellStyle name="SAPBEXaggData" xfId="222"/>
    <cellStyle name="SAPBEXaggData 2" xfId="223"/>
    <cellStyle name="SAPBEXaggDataEmph" xfId="224"/>
    <cellStyle name="SAPBEXaggItem" xfId="225"/>
    <cellStyle name="SAPBEXaggItem 2" xfId="226"/>
    <cellStyle name="SAPBEXaggItemX" xfId="227"/>
    <cellStyle name="SAPBEXchaText" xfId="228"/>
    <cellStyle name="SAPBEXchaText 2" xfId="229"/>
    <cellStyle name="SAPBEXexcBad7" xfId="230"/>
    <cellStyle name="SAPBEXexcBad8" xfId="231"/>
    <cellStyle name="SAPBEXexcBad9" xfId="232"/>
    <cellStyle name="SAPBEXexcCritical4" xfId="233"/>
    <cellStyle name="SAPBEXexcCritical5" xfId="234"/>
    <cellStyle name="SAPBEXexcCritical6" xfId="235"/>
    <cellStyle name="SAPBEXexcGood1" xfId="236"/>
    <cellStyle name="SAPBEXexcGood2" xfId="237"/>
    <cellStyle name="SAPBEXexcGood3" xfId="238"/>
    <cellStyle name="SAPBEXfilterDrill" xfId="239"/>
    <cellStyle name="SAPBEXfilterItem" xfId="240"/>
    <cellStyle name="SAPBEXfilterText" xfId="241"/>
    <cellStyle name="SAPBEXformats" xfId="242"/>
    <cellStyle name="SAPBEXheaderItem" xfId="243"/>
    <cellStyle name="SAPBEXheaderText" xfId="244"/>
    <cellStyle name="SAPBEXHLevel0" xfId="245"/>
    <cellStyle name="SAPBEXHLevel0 2" xfId="246"/>
    <cellStyle name="SAPBEXHLevel0X" xfId="247"/>
    <cellStyle name="SAPBEXHLevel1" xfId="248"/>
    <cellStyle name="SAPBEXHLevel1 2" xfId="249"/>
    <cellStyle name="SAPBEXHLevel1X" xfId="250"/>
    <cellStyle name="SAPBEXHLevel2" xfId="251"/>
    <cellStyle name="SAPBEXHLevel2 2" xfId="252"/>
    <cellStyle name="SAPBEXHLevel2X" xfId="253"/>
    <cellStyle name="SAPBEXHLevel3" xfId="254"/>
    <cellStyle name="SAPBEXHLevel3 2" xfId="255"/>
    <cellStyle name="SAPBEXHLevel3X" xfId="256"/>
    <cellStyle name="SAPBEXinputData" xfId="257"/>
    <cellStyle name="SAPBEXItemHeader" xfId="258"/>
    <cellStyle name="SAPBEXresData" xfId="259"/>
    <cellStyle name="SAPBEXresDataEmph" xfId="260"/>
    <cellStyle name="SAPBEXresItem" xfId="261"/>
    <cellStyle name="SAPBEXresItemX" xfId="262"/>
    <cellStyle name="SAPBEXstdData" xfId="263"/>
    <cellStyle name="SAPBEXstdData 2" xfId="264"/>
    <cellStyle name="SAPBEXstdDataEmph" xfId="265"/>
    <cellStyle name="SAPBEXstdItem" xfId="266"/>
    <cellStyle name="SAPBEXstdItem 2" xfId="267"/>
    <cellStyle name="SAPBEXstdItemX" xfId="268"/>
    <cellStyle name="SAPBEXtitle" xfId="269"/>
    <cellStyle name="SAPBEXunassignedItem" xfId="270"/>
    <cellStyle name="SAPBEXundefined" xfId="271"/>
    <cellStyle name="Sheet Title" xfId="272"/>
    <cellStyle name="Style 1" xfId="273"/>
    <cellStyle name="Subtotal" xfId="274"/>
    <cellStyle name="Title" xfId="275"/>
    <cellStyle name="Total" xfId="276"/>
    <cellStyle name="Warning Text" xfId="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80</xdr:row>
      <xdr:rowOff>0</xdr:rowOff>
    </xdr:from>
    <xdr:to>
      <xdr:col>7</xdr:col>
      <xdr:colOff>914400</xdr:colOff>
      <xdr:row>105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16200"/>
          <a:ext cx="98679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XSF22\VOL1\USERS\UPRSGM\EXCEL\96YEVA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4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COMBCYC\PMG\performance\UNIT4PRF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JB\BusinessServices\FPLE\Due%20Diligence\IRP%20-%20Florida\PCC\3X1%20SIEMENS%20501H\PCC3%203X1%20501G%202013%20Modernization%20Budget%2025y_4-22-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CRR0CA9\AppData\Local\Microsoft\Windows\Temporary%20Internet%20Files\Content.Outlook\5EMQJES9\FERC%20O&amp;M%20Trend%20Analysis%20(A@FFc@FFc)%20-%2010-27-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2016%20Retail%20Rate%20Case\Okeechobee\Support\Okeechobee%202019%20COD%203X1GE7H_GE%201-30-2015_OM%20Budget_Esc_3-11-2015FINAL-FINAL_tabs%20with%20FERC%20Assignments%20v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PEM0NGR\VAR_RPTS\99%20Reports\O&amp;M%20Variance\Executive%20Revi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ariance%20Report\Working%20Copy\Checkbo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xsf23\vol1\USERS\LGD0Q14\OVERHAUL\1999\Current\1999O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LGD0Q14\IRP\Repowering%20Overhauls%20thru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LGD0Q14\ESTACT\2000\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TEMP\Revised%20Proformas\SCHERER%20PROFOR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TEMP\PAYROLL&amp;HEADCOUNT%20FOR%20RIC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hauls, pg 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> </v>
          </cell>
          <cell r="D13" t="str">
            <v>HISTORICAL </v>
          </cell>
          <cell r="E13" t="str">
            <v> </v>
          </cell>
          <cell r="F13" t="str">
            <v>HISTORICAL </v>
          </cell>
          <cell r="H13" t="str">
            <v>TEST</v>
          </cell>
          <cell r="J13" t="str">
            <v>HISTORICAL </v>
          </cell>
          <cell r="K13" t="str">
            <v> </v>
          </cell>
          <cell r="L13" t="str">
            <v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Assumptions"/>
      <sheetName val="Annual O&amp;M Budget Plan"/>
      <sheetName val="Capital Equipment"/>
      <sheetName val="EWIS-CEMS-ECRC"/>
      <sheetName val="Water Pre-treat Costs "/>
      <sheetName val="Chemical Clg Twr Costs"/>
      <sheetName val="Payroll"/>
      <sheetName val="Salary &amp; Staffing"/>
      <sheetName val="Maj Maint Wheel"/>
      <sheetName val="501H Parts Movement"/>
      <sheetName val="esc"/>
      <sheetName val="501G 75F Gas"/>
      <sheetName val="501G Dist"/>
      <sheetName val="Anhydrous NH3 Operating Costs"/>
      <sheetName val="Chemicals &amp; Demin"/>
      <sheetName val="ops scenari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"/>
      <sheetName val="Graph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ERC FB6 10-27-15"/>
      <sheetName val="Annual O&amp;M Budget Plan - OKEC"/>
      <sheetName val="O&amp;M Summary to RAP"/>
      <sheetName val="RFP Table VI.B-2"/>
      <sheetName val="C-20 Suppor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y's Summa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R END EST ACTUAL"/>
      <sheetName val="O&amp;M Chkbook by loc"/>
      <sheetName val="O&amp;M Chkbook by da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1999 W-pcc @18"/>
    </sheetNames>
    <sheetDataSet>
      <sheetData sheetId="0">
        <row r="9">
          <cell r="D9" t="str">
            <v>OPEN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YS (2)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rp alloc"/>
      <sheetName val="MASS FORMUL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>EXPLANATION: </v>
          </cell>
          <cell r="L4" t="str">
            <v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6"/>
  <sheetViews>
    <sheetView showGridLines="0" tabSelected="1" showOutlineSymbols="0" zoomScale="70" zoomScaleNormal="70" zoomScalePageLayoutView="0" workbookViewId="0" topLeftCell="A1">
      <selection activeCell="A3" sqref="A3"/>
    </sheetView>
  </sheetViews>
  <sheetFormatPr defaultColWidth="9.6640625" defaultRowHeight="15"/>
  <cols>
    <col min="1" max="1" width="10.4453125" style="16" customWidth="1"/>
    <col min="2" max="7" width="9.6640625" style="16" customWidth="1"/>
    <col min="8" max="8" width="27.10546875" style="16" customWidth="1"/>
    <col min="9" max="9" width="9.6640625" style="16" customWidth="1"/>
    <col min="10" max="10" width="12.5546875" style="16" customWidth="1"/>
    <col min="11" max="11" width="9.5546875" style="16" customWidth="1"/>
    <col min="12" max="12" width="9.6640625" style="16" customWidth="1"/>
    <col min="13" max="13" width="16.88671875" style="16" customWidth="1"/>
    <col min="14" max="15" width="9.6640625" style="16" customWidth="1"/>
    <col min="16" max="16" width="13.21484375" style="16" customWidth="1"/>
    <col min="17" max="16384" width="9.6640625" style="16" customWidth="1"/>
  </cols>
  <sheetData>
    <row r="1" s="261" customFormat="1" ht="16.5">
      <c r="A1" s="261" t="s">
        <v>570</v>
      </c>
    </row>
    <row r="2" s="261" customFormat="1" ht="16.5">
      <c r="A2" s="261" t="s">
        <v>571</v>
      </c>
    </row>
    <row r="3" s="261" customFormat="1" ht="16.5"/>
    <row r="4" spans="1:17" ht="16.5">
      <c r="A4" s="16" t="s">
        <v>0</v>
      </c>
      <c r="B4" s="17" t="s">
        <v>1</v>
      </c>
      <c r="E4" s="263" t="s">
        <v>496</v>
      </c>
      <c r="F4" s="20"/>
      <c r="G4" s="20"/>
      <c r="H4" s="47"/>
      <c r="I4" s="17"/>
      <c r="J4" s="17"/>
      <c r="K4" s="17"/>
      <c r="O4" s="16" t="s">
        <v>115</v>
      </c>
      <c r="Q4" s="87"/>
    </row>
    <row r="5" spans="1:17" ht="17.25" thickBot="1">
      <c r="A5" s="119" t="s">
        <v>507</v>
      </c>
      <c r="E5" s="20"/>
      <c r="F5" s="20"/>
      <c r="G5" s="20"/>
      <c r="H5" s="20"/>
      <c r="Q5" s="87"/>
    </row>
    <row r="6" spans="1:17" ht="16.5">
      <c r="A6" s="88"/>
      <c r="B6" s="88"/>
      <c r="C6" s="88"/>
      <c r="D6" s="88"/>
      <c r="E6" s="264"/>
      <c r="F6" s="264"/>
      <c r="G6" s="264"/>
      <c r="H6" s="264"/>
      <c r="I6" s="88"/>
      <c r="J6" s="88"/>
      <c r="K6" s="88"/>
      <c r="L6" s="88"/>
      <c r="M6" s="88"/>
      <c r="N6" s="88"/>
      <c r="O6" s="88"/>
      <c r="P6" s="88"/>
      <c r="Q6" s="87"/>
    </row>
    <row r="7" spans="1:17" ht="16.5">
      <c r="A7" s="16" t="s">
        <v>2</v>
      </c>
      <c r="E7" s="20"/>
      <c r="F7" s="20" t="s">
        <v>3</v>
      </c>
      <c r="G7" s="20"/>
      <c r="H7" s="263" t="s">
        <v>4</v>
      </c>
      <c r="I7" s="17"/>
      <c r="J7" s="17"/>
      <c r="K7" s="17"/>
      <c r="M7" s="16" t="s">
        <v>5</v>
      </c>
      <c r="Q7" s="87"/>
    </row>
    <row r="8" spans="5:17" ht="16.5">
      <c r="E8" s="20"/>
      <c r="F8" s="20"/>
      <c r="G8" s="47"/>
      <c r="H8" s="263" t="s">
        <v>16</v>
      </c>
      <c r="I8" s="17"/>
      <c r="J8" s="17"/>
      <c r="K8" s="17"/>
      <c r="Q8" s="87"/>
    </row>
    <row r="9" spans="1:17" ht="16.5" customHeight="1">
      <c r="A9" s="19" t="s">
        <v>249</v>
      </c>
      <c r="B9" s="50"/>
      <c r="C9" s="50"/>
      <c r="D9" s="50"/>
      <c r="E9" s="47"/>
      <c r="F9" s="47"/>
      <c r="G9" s="47"/>
      <c r="H9" s="265" t="s">
        <v>488</v>
      </c>
      <c r="I9" s="17"/>
      <c r="J9" s="17"/>
      <c r="K9" s="17"/>
      <c r="M9" s="236" t="s">
        <v>508</v>
      </c>
      <c r="Q9" s="87"/>
    </row>
    <row r="10" spans="1:17" ht="15" customHeight="1">
      <c r="A10" s="19" t="s">
        <v>250</v>
      </c>
      <c r="B10" s="50"/>
      <c r="C10" s="50"/>
      <c r="D10" s="50"/>
      <c r="E10" s="47"/>
      <c r="F10" s="47"/>
      <c r="G10" s="47"/>
      <c r="H10" s="47"/>
      <c r="I10" s="17"/>
      <c r="J10" s="17"/>
      <c r="K10" s="17"/>
      <c r="Q10" s="87"/>
    </row>
    <row r="11" spans="5:17" ht="16.5">
      <c r="E11" s="23"/>
      <c r="F11" s="89"/>
      <c r="G11" s="44"/>
      <c r="I11" s="17"/>
      <c r="J11" s="17"/>
      <c r="K11" s="17"/>
      <c r="M11" s="61" t="s">
        <v>185</v>
      </c>
      <c r="Q11" s="87"/>
    </row>
    <row r="12" spans="1:17" ht="16.5">
      <c r="A12" s="266" t="s">
        <v>516</v>
      </c>
      <c r="E12" s="17"/>
      <c r="F12" s="17"/>
      <c r="G12" s="23"/>
      <c r="H12" s="89"/>
      <c r="I12" s="17"/>
      <c r="J12" s="17"/>
      <c r="K12" s="17"/>
      <c r="Q12" s="87"/>
    </row>
    <row r="13" spans="5:17" ht="17.25" thickBot="1">
      <c r="E13" s="17"/>
      <c r="F13" s="17"/>
      <c r="G13" s="17"/>
      <c r="H13" s="17"/>
      <c r="I13" s="17"/>
      <c r="J13" s="17"/>
      <c r="K13" s="17"/>
      <c r="Q13" s="87"/>
    </row>
    <row r="14" spans="1:17" ht="16.5">
      <c r="A14" s="24"/>
      <c r="B14" s="90" t="s">
        <v>21</v>
      </c>
      <c r="C14" s="90"/>
      <c r="D14" s="91"/>
      <c r="E14" s="91"/>
      <c r="F14" s="91"/>
      <c r="G14" s="91"/>
      <c r="H14" s="24"/>
      <c r="I14" s="92" t="s">
        <v>22</v>
      </c>
      <c r="J14" s="24"/>
      <c r="K14" s="24"/>
      <c r="L14" s="92"/>
      <c r="M14" s="92" t="s">
        <v>23</v>
      </c>
      <c r="N14" s="24"/>
      <c r="O14" s="24"/>
      <c r="P14" s="24"/>
      <c r="Q14" s="87"/>
    </row>
    <row r="15" spans="1:17" ht="16.5">
      <c r="A15" s="27" t="s">
        <v>6</v>
      </c>
      <c r="Q15" s="87"/>
    </row>
    <row r="16" spans="1:17" ht="16.5">
      <c r="A16" s="25" t="s">
        <v>7</v>
      </c>
      <c r="B16" s="26" t="s">
        <v>8</v>
      </c>
      <c r="C16" s="26"/>
      <c r="D16" s="26"/>
      <c r="E16" s="26"/>
      <c r="F16" s="26"/>
      <c r="G16" s="26"/>
      <c r="H16" s="17"/>
      <c r="I16" s="25" t="s">
        <v>9</v>
      </c>
      <c r="J16" s="17"/>
      <c r="K16" s="17"/>
      <c r="M16" s="25" t="s">
        <v>70</v>
      </c>
      <c r="N16" s="17"/>
      <c r="Q16" s="87"/>
    </row>
    <row r="17" spans="1:17" ht="16.5">
      <c r="A17" s="25"/>
      <c r="B17" s="17"/>
      <c r="C17" s="17"/>
      <c r="D17" s="17"/>
      <c r="E17" s="17"/>
      <c r="F17" s="17"/>
      <c r="G17" s="17"/>
      <c r="H17" s="17"/>
      <c r="I17" s="25"/>
      <c r="J17" s="17"/>
      <c r="K17" s="17"/>
      <c r="M17" s="93" t="s">
        <v>63</v>
      </c>
      <c r="N17" s="17"/>
      <c r="Q17" s="87"/>
    </row>
    <row r="18" spans="1:17" ht="17.25" thickBot="1">
      <c r="A18" s="27"/>
      <c r="B18" s="17"/>
      <c r="C18" s="17"/>
      <c r="D18" s="17"/>
      <c r="E18" s="17"/>
      <c r="F18" s="17"/>
      <c r="G18" s="17"/>
      <c r="H18" s="17"/>
      <c r="I18" s="17"/>
      <c r="J18" s="17"/>
      <c r="K18" s="17"/>
      <c r="M18" s="17"/>
      <c r="N18" s="17"/>
      <c r="Q18" s="87"/>
    </row>
    <row r="19" spans="1:17" ht="16.5">
      <c r="A19" s="80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24"/>
      <c r="M19" s="35"/>
      <c r="N19" s="35"/>
      <c r="O19" s="24"/>
      <c r="P19" s="24"/>
      <c r="Q19" s="87"/>
    </row>
    <row r="20" spans="1:17" ht="16.5">
      <c r="A20" s="25">
        <v>1</v>
      </c>
      <c r="B20" s="57" t="s">
        <v>489</v>
      </c>
      <c r="C20" s="17"/>
      <c r="D20" s="17"/>
      <c r="E20" s="17"/>
      <c r="F20" s="17"/>
      <c r="G20" s="17"/>
      <c r="H20" s="17"/>
      <c r="I20" s="17" t="s">
        <v>10</v>
      </c>
      <c r="J20" s="17"/>
      <c r="K20" s="95"/>
      <c r="M20" s="195">
        <f>+'B-1 '!V34</f>
        <v>1063314.680312053</v>
      </c>
      <c r="N20" s="96"/>
      <c r="Q20" s="87"/>
    </row>
    <row r="21" spans="1:17" ht="16.5">
      <c r="A21" s="27"/>
      <c r="Q21" s="87"/>
    </row>
    <row r="22" spans="1:17" ht="16.5">
      <c r="A22" s="25">
        <v>2</v>
      </c>
      <c r="B22" s="57" t="s">
        <v>490</v>
      </c>
      <c r="C22" s="17"/>
      <c r="D22" s="17"/>
      <c r="E22" s="17"/>
      <c r="F22" s="17"/>
      <c r="G22" s="17"/>
      <c r="H22" s="17"/>
      <c r="I22" s="17" t="s">
        <v>94</v>
      </c>
      <c r="J22" s="17"/>
      <c r="K22" s="97"/>
      <c r="M22" s="196">
        <f>+'D-1a'!N37</f>
        <v>0.08873018254401092</v>
      </c>
      <c r="N22" s="98"/>
      <c r="Q22" s="87"/>
    </row>
    <row r="23" spans="1:17" ht="16.5">
      <c r="A23" s="25"/>
      <c r="B23" s="17"/>
      <c r="C23" s="17"/>
      <c r="D23" s="17"/>
      <c r="E23" s="17"/>
      <c r="F23" s="17"/>
      <c r="G23" s="17"/>
      <c r="H23" s="17"/>
      <c r="I23" s="17"/>
      <c r="J23" s="17"/>
      <c r="K23" s="17"/>
      <c r="M23" s="99"/>
      <c r="N23" s="39"/>
      <c r="Q23" s="87"/>
    </row>
    <row r="24" spans="1:17" ht="16.5">
      <c r="A24" s="25">
        <v>3</v>
      </c>
      <c r="B24" s="57" t="s">
        <v>491</v>
      </c>
      <c r="C24" s="17"/>
      <c r="D24" s="17"/>
      <c r="E24" s="17"/>
      <c r="F24" s="17"/>
      <c r="G24" s="17"/>
      <c r="H24" s="17"/>
      <c r="I24" s="17" t="s">
        <v>245</v>
      </c>
      <c r="J24" s="17"/>
      <c r="K24" s="95"/>
      <c r="M24" s="95">
        <f>M20*M22</f>
        <v>94348.10568581508</v>
      </c>
      <c r="N24" s="95"/>
      <c r="Q24" s="87"/>
    </row>
    <row r="25" spans="1:17" ht="16.5">
      <c r="A25" s="25"/>
      <c r="B25" s="17"/>
      <c r="C25" s="17"/>
      <c r="D25" s="17"/>
      <c r="E25" s="17"/>
      <c r="F25" s="17"/>
      <c r="G25" s="17"/>
      <c r="H25" s="17"/>
      <c r="I25" s="17"/>
      <c r="J25" s="17"/>
      <c r="K25" s="17"/>
      <c r="M25" s="39"/>
      <c r="N25" s="39"/>
      <c r="Q25" s="87"/>
    </row>
    <row r="26" spans="1:17" ht="16.5">
      <c r="A26" s="25">
        <v>4</v>
      </c>
      <c r="B26" s="57" t="s">
        <v>492</v>
      </c>
      <c r="C26" s="17"/>
      <c r="D26" s="17"/>
      <c r="E26" s="17"/>
      <c r="F26" s="17"/>
      <c r="G26" s="17"/>
      <c r="H26" s="17"/>
      <c r="I26" s="17" t="s">
        <v>11</v>
      </c>
      <c r="J26" s="17"/>
      <c r="K26" s="95"/>
      <c r="L26" s="37"/>
      <c r="M26" s="197">
        <f>+'C-1'!Q41</f>
        <v>-33868.42458667235</v>
      </c>
      <c r="N26" s="41"/>
      <c r="Q26" s="87"/>
    </row>
    <row r="27" spans="1:17" ht="16.5">
      <c r="A27" s="25"/>
      <c r="D27" s="17"/>
      <c r="E27" s="17"/>
      <c r="F27" s="17"/>
      <c r="G27" s="17"/>
      <c r="H27" s="17"/>
      <c r="I27" s="17"/>
      <c r="J27" s="17"/>
      <c r="K27" s="17"/>
      <c r="M27" s="39"/>
      <c r="N27" s="39"/>
      <c r="Q27" s="87"/>
    </row>
    <row r="28" spans="1:17" ht="16.5">
      <c r="A28" s="25">
        <v>5</v>
      </c>
      <c r="B28" s="57" t="s">
        <v>493</v>
      </c>
      <c r="C28" s="17"/>
      <c r="D28" s="17"/>
      <c r="E28" s="17"/>
      <c r="F28" s="17"/>
      <c r="G28" s="17"/>
      <c r="H28" s="17"/>
      <c r="I28" s="17" t="s">
        <v>246</v>
      </c>
      <c r="J28" s="17"/>
      <c r="K28" s="95"/>
      <c r="M28" s="95">
        <f>M24-M26</f>
        <v>128216.53027248743</v>
      </c>
      <c r="N28" s="95"/>
      <c r="Q28" s="87"/>
    </row>
    <row r="29" spans="1:17" ht="16.5">
      <c r="A29" s="25"/>
      <c r="B29" s="17"/>
      <c r="C29" s="17"/>
      <c r="D29" s="17"/>
      <c r="E29" s="17"/>
      <c r="F29" s="17"/>
      <c r="G29" s="17"/>
      <c r="H29" s="17"/>
      <c r="I29" s="17"/>
      <c r="J29" s="17"/>
      <c r="K29" s="17"/>
      <c r="M29" s="17"/>
      <c r="N29" s="39"/>
      <c r="Q29" s="87"/>
    </row>
    <row r="30" spans="1:17" ht="16.5">
      <c r="A30" s="25">
        <v>6</v>
      </c>
      <c r="B30" s="57" t="s">
        <v>494</v>
      </c>
      <c r="C30" s="17"/>
      <c r="D30" s="17"/>
      <c r="E30" s="17"/>
      <c r="F30" s="17"/>
      <c r="G30" s="17"/>
      <c r="H30" s="17"/>
      <c r="I30" s="17" t="s">
        <v>251</v>
      </c>
      <c r="J30" s="17"/>
      <c r="K30" s="97"/>
      <c r="L30" s="42"/>
      <c r="M30" s="100" t="s">
        <v>122</v>
      </c>
      <c r="N30" s="39"/>
      <c r="Q30" s="87"/>
    </row>
    <row r="31" spans="1:17" ht="16.5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42"/>
      <c r="M31" s="17"/>
      <c r="N31" s="39"/>
      <c r="Q31" s="87"/>
    </row>
    <row r="32" spans="1:17" ht="16.5">
      <c r="A32" s="25">
        <v>7</v>
      </c>
      <c r="B32" s="57" t="s">
        <v>495</v>
      </c>
      <c r="C32" s="17"/>
      <c r="D32" s="17"/>
      <c r="E32" s="17"/>
      <c r="F32" s="17"/>
      <c r="G32" s="17"/>
      <c r="H32" s="17"/>
      <c r="I32" s="17" t="s">
        <v>12</v>
      </c>
      <c r="J32" s="17"/>
      <c r="K32" s="17"/>
      <c r="M32" s="198">
        <f>+'C-44'!K42</f>
        <v>1.6302424979425743</v>
      </c>
      <c r="N32" s="39"/>
      <c r="Q32" s="87"/>
    </row>
    <row r="33" spans="1:17" ht="16.5">
      <c r="A33" s="25"/>
      <c r="B33" s="17"/>
      <c r="C33" s="17"/>
      <c r="D33" s="17"/>
      <c r="E33" s="17"/>
      <c r="F33" s="17"/>
      <c r="G33" s="17"/>
      <c r="H33" s="17"/>
      <c r="I33" s="17"/>
      <c r="J33" s="17"/>
      <c r="K33" s="17"/>
      <c r="M33" s="101"/>
      <c r="N33" s="39"/>
      <c r="Q33" s="87"/>
    </row>
    <row r="34" spans="1:17" ht="17.25" thickBot="1">
      <c r="A34" s="25">
        <v>8</v>
      </c>
      <c r="B34" s="17" t="s">
        <v>215</v>
      </c>
      <c r="C34" s="17"/>
      <c r="D34" s="17"/>
      <c r="E34" s="17"/>
      <c r="F34" s="17"/>
      <c r="G34" s="17"/>
      <c r="H34" s="17"/>
      <c r="I34" s="17" t="s">
        <v>247</v>
      </c>
      <c r="J34" s="17"/>
      <c r="K34" s="95"/>
      <c r="M34" s="95">
        <f>M28*M32</f>
        <v>209024.03658894962</v>
      </c>
      <c r="N34" s="95"/>
      <c r="Q34" s="87"/>
    </row>
    <row r="35" spans="1:17" ht="17.25" thickTop="1">
      <c r="A35" s="25"/>
      <c r="B35" s="17"/>
      <c r="C35" s="17"/>
      <c r="D35" s="17"/>
      <c r="E35" s="17"/>
      <c r="F35" s="17"/>
      <c r="G35" s="17"/>
      <c r="H35" s="17"/>
      <c r="I35" s="17"/>
      <c r="J35" s="17"/>
      <c r="K35" s="17"/>
      <c r="M35" s="102"/>
      <c r="N35" s="39"/>
      <c r="Q35" s="87"/>
    </row>
    <row r="36" spans="1:17" ht="16.5">
      <c r="A36" s="27"/>
      <c r="B36" s="17"/>
      <c r="C36" s="17"/>
      <c r="D36" s="17"/>
      <c r="E36" s="17"/>
      <c r="F36" s="17"/>
      <c r="G36" s="17"/>
      <c r="H36" s="17"/>
      <c r="I36" s="17"/>
      <c r="J36" s="17"/>
      <c r="K36" s="17"/>
      <c r="M36" s="595"/>
      <c r="N36" s="17"/>
      <c r="Q36" s="87"/>
    </row>
    <row r="37" spans="1:17" ht="16.5">
      <c r="A37" s="25"/>
      <c r="B37" s="17"/>
      <c r="C37" s="17"/>
      <c r="D37" s="17"/>
      <c r="E37" s="17"/>
      <c r="F37" s="17"/>
      <c r="G37" s="17"/>
      <c r="H37" s="17"/>
      <c r="I37" s="17"/>
      <c r="J37" s="17"/>
      <c r="K37" s="17"/>
      <c r="M37" s="17"/>
      <c r="N37" s="17"/>
      <c r="Q37" s="87"/>
    </row>
    <row r="38" spans="1:17" ht="16.5">
      <c r="A38" s="25"/>
      <c r="B38" s="17"/>
      <c r="C38" s="17"/>
      <c r="D38" s="17"/>
      <c r="E38" s="17"/>
      <c r="F38" s="17"/>
      <c r="G38" s="17"/>
      <c r="H38" s="17"/>
      <c r="I38" s="17"/>
      <c r="J38" s="17"/>
      <c r="K38" s="17"/>
      <c r="M38" s="103"/>
      <c r="N38" s="17"/>
      <c r="Q38" s="87"/>
    </row>
    <row r="39" spans="1:17" ht="16.5">
      <c r="A39" s="25">
        <v>9</v>
      </c>
      <c r="B39" s="104" t="s">
        <v>123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Q39" s="87"/>
    </row>
    <row r="40" spans="1:17" ht="16.5">
      <c r="A40" s="2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95"/>
      <c r="N40" s="17"/>
      <c r="Q40" s="87"/>
    </row>
    <row r="41" spans="1:17" ht="16.5">
      <c r="A41" s="25">
        <v>10</v>
      </c>
      <c r="B41" s="257" t="s">
        <v>554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95"/>
      <c r="N41" s="17"/>
      <c r="Q41" s="87"/>
    </row>
    <row r="42" spans="1:17" ht="16.5">
      <c r="A42" s="25">
        <v>11</v>
      </c>
      <c r="B42" s="105" t="s">
        <v>248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Q42" s="87"/>
    </row>
    <row r="43" spans="1:17" ht="16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Q43" s="87"/>
    </row>
    <row r="44" spans="1:17" ht="16.5">
      <c r="A44" s="9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Q44" s="87"/>
    </row>
    <row r="45" spans="1:17" ht="16.5">
      <c r="A45" s="94"/>
      <c r="B45" s="10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Q45" s="87"/>
    </row>
    <row r="46" spans="1:17" ht="16.5">
      <c r="A46" s="94"/>
      <c r="Q46" s="87"/>
    </row>
    <row r="47" spans="1:17" ht="16.5">
      <c r="A47" s="94"/>
      <c r="Q47" s="87"/>
    </row>
    <row r="48" spans="1:17" ht="16.5">
      <c r="A48" s="94"/>
      <c r="Q48" s="87"/>
    </row>
    <row r="49" spans="1:17" ht="16.5">
      <c r="A49" s="94"/>
      <c r="Q49" s="87"/>
    </row>
    <row r="50" spans="1:17" ht="16.5">
      <c r="A50" s="94"/>
      <c r="Q50" s="87"/>
    </row>
    <row r="51" spans="1:17" ht="16.5">
      <c r="A51" s="94"/>
      <c r="Q51" s="87"/>
    </row>
    <row r="52" spans="1:17" ht="16.5">
      <c r="A52" s="94"/>
      <c r="Q52" s="87"/>
    </row>
    <row r="53" spans="1:17" ht="16.5">
      <c r="A53" s="94"/>
      <c r="Q53" s="87"/>
    </row>
    <row r="54" ht="409.5">
      <c r="Q54" s="87"/>
    </row>
    <row r="55" ht="17.25" thickBot="1">
      <c r="Q55" s="87"/>
    </row>
    <row r="56" spans="1:17" ht="16.5">
      <c r="A56" s="24" t="s">
        <v>13</v>
      </c>
      <c r="B56" s="24"/>
      <c r="C56" s="24" t="s">
        <v>15</v>
      </c>
      <c r="D56" s="35"/>
      <c r="E56" s="35"/>
      <c r="F56" s="35"/>
      <c r="G56" s="35"/>
      <c r="H56" s="35"/>
      <c r="I56" s="35"/>
      <c r="J56" s="35"/>
      <c r="K56" s="35"/>
      <c r="L56" s="24"/>
      <c r="M56" s="24" t="s">
        <v>14</v>
      </c>
      <c r="N56" s="35"/>
      <c r="O56" s="24"/>
      <c r="P56" s="24"/>
      <c r="Q56" s="87"/>
    </row>
  </sheetData>
  <sheetProtection/>
  <printOptions horizontalCentered="1"/>
  <pageMargins left="0.5" right="0.5" top="0.75" bottom="0.5" header="0" footer="0"/>
  <pageSetup fitToHeight="1" fitToWidth="1" horizontalDpi="600" verticalDpi="600" orientation="landscape" scale="60" r:id="rId1"/>
  <ignoredErrors>
    <ignoredError sqref="M14:M19 I14" numberStoredAsText="1"/>
    <ignoredError sqref="M20:M23 M25:M33" numberStoredAsText="1" unlockedFormula="1"/>
    <ignoredError sqref="M34 M2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10.4453125" style="0" bestFit="1" customWidth="1"/>
    <col min="2" max="2" width="45.21484375" style="0" customWidth="1"/>
    <col min="3" max="3" width="12.88671875" style="0" customWidth="1"/>
    <col min="4" max="4" width="9.88671875" style="0" customWidth="1"/>
    <col min="5" max="5" width="13.5546875" style="0" bestFit="1" customWidth="1"/>
    <col min="6" max="17" width="11.99609375" style="0" bestFit="1" customWidth="1"/>
    <col min="18" max="18" width="10.21484375" style="0" bestFit="1" customWidth="1"/>
  </cols>
  <sheetData>
    <row r="1" s="240" customFormat="1" ht="15">
      <c r="A1" s="240" t="s">
        <v>580</v>
      </c>
    </row>
    <row r="2" s="240" customFormat="1" ht="15">
      <c r="A2" s="240" t="s">
        <v>571</v>
      </c>
    </row>
    <row r="3" s="240" customFormat="1" ht="15.75" thickBot="1"/>
    <row r="4" spans="2:18" ht="30">
      <c r="B4" t="s">
        <v>479</v>
      </c>
      <c r="D4" s="571" t="s">
        <v>480</v>
      </c>
      <c r="E4" s="572" t="s">
        <v>455</v>
      </c>
      <c r="F4" s="278" t="s">
        <v>456</v>
      </c>
      <c r="G4" s="278" t="s">
        <v>457</v>
      </c>
      <c r="H4" s="278" t="s">
        <v>458</v>
      </c>
      <c r="I4" s="278" t="s">
        <v>459</v>
      </c>
      <c r="J4" s="278" t="s">
        <v>460</v>
      </c>
      <c r="K4" s="278" t="s">
        <v>461</v>
      </c>
      <c r="L4" s="278" t="s">
        <v>462</v>
      </c>
      <c r="M4" s="278" t="s">
        <v>463</v>
      </c>
      <c r="N4" s="278" t="s">
        <v>464</v>
      </c>
      <c r="O4" s="278" t="s">
        <v>465</v>
      </c>
      <c r="P4" s="278" t="s">
        <v>466</v>
      </c>
      <c r="Q4" s="278" t="s">
        <v>467</v>
      </c>
      <c r="R4" s="278" t="s">
        <v>481</v>
      </c>
    </row>
    <row r="5" spans="4:5" ht="15">
      <c r="D5" s="573"/>
      <c r="E5" s="573"/>
    </row>
    <row r="6" spans="1:18" ht="15">
      <c r="A6">
        <v>546</v>
      </c>
      <c r="B6" t="s">
        <v>453</v>
      </c>
      <c r="D6" s="267">
        <f>+E6/$E$13</f>
        <v>0.24243190218032648</v>
      </c>
      <c r="E6" s="574">
        <v>1565133.1694800816</v>
      </c>
      <c r="F6" s="268">
        <v>130427.76412334014</v>
      </c>
      <c r="G6" s="268">
        <v>130427.76412334014</v>
      </c>
      <c r="H6" s="268">
        <v>130427.76412334014</v>
      </c>
      <c r="I6" s="268">
        <v>130427.76412334014</v>
      </c>
      <c r="J6" s="268">
        <v>130427.76412334014</v>
      </c>
      <c r="K6" s="268">
        <v>130427.76412334014</v>
      </c>
      <c r="L6" s="268">
        <v>130427.76412334014</v>
      </c>
      <c r="M6" s="268">
        <v>130427.76412334014</v>
      </c>
      <c r="N6" s="268">
        <v>130427.76412334014</v>
      </c>
      <c r="O6" s="268">
        <v>130427.76412334014</v>
      </c>
      <c r="P6" s="268">
        <v>130427.76412334014</v>
      </c>
      <c r="Q6" s="268">
        <v>130427.76412334014</v>
      </c>
      <c r="R6" s="268">
        <v>1565133.1694800816</v>
      </c>
    </row>
    <row r="7" spans="1:18" ht="15">
      <c r="A7">
        <v>548</v>
      </c>
      <c r="B7" t="s">
        <v>454</v>
      </c>
      <c r="D7" s="267">
        <f aca="true" t="shared" si="0" ref="D7:D12">+E7/$E$13</f>
        <v>0.15869314474035678</v>
      </c>
      <c r="E7" s="574">
        <v>1024518.2353001059</v>
      </c>
      <c r="F7" s="268">
        <v>85376.51960834216</v>
      </c>
      <c r="G7" s="268">
        <v>85376.51960834216</v>
      </c>
      <c r="H7" s="268">
        <v>85376.51960834216</v>
      </c>
      <c r="I7" s="268">
        <v>85376.51960834216</v>
      </c>
      <c r="J7" s="268">
        <v>85376.51960834216</v>
      </c>
      <c r="K7" s="268">
        <v>85376.51960834216</v>
      </c>
      <c r="L7" s="268">
        <v>85376.51960834216</v>
      </c>
      <c r="M7" s="268">
        <v>85376.51960834216</v>
      </c>
      <c r="N7" s="268">
        <v>85376.51960834216</v>
      </c>
      <c r="O7" s="268">
        <v>85376.51960834216</v>
      </c>
      <c r="P7" s="268">
        <v>85376.51960834216</v>
      </c>
      <c r="Q7" s="268">
        <v>85376.51960834216</v>
      </c>
      <c r="R7" s="268">
        <v>1024518.2353001061</v>
      </c>
    </row>
    <row r="8" spans="1:18" ht="15">
      <c r="A8">
        <v>549</v>
      </c>
      <c r="B8" t="s">
        <v>446</v>
      </c>
      <c r="D8" s="267">
        <f t="shared" si="0"/>
        <v>0.20288866952338608</v>
      </c>
      <c r="E8" s="574">
        <v>1309843.2323751464</v>
      </c>
      <c r="F8" s="268">
        <v>109153.60269792886</v>
      </c>
      <c r="G8" s="268">
        <v>109153.60269792886</v>
      </c>
      <c r="H8" s="268">
        <v>109153.60269792886</v>
      </c>
      <c r="I8" s="268">
        <v>109153.60269792886</v>
      </c>
      <c r="J8" s="268">
        <v>109153.60269792886</v>
      </c>
      <c r="K8" s="268">
        <v>109153.60269792886</v>
      </c>
      <c r="L8" s="268">
        <v>109153.60269792886</v>
      </c>
      <c r="M8" s="268">
        <v>109153.60269792886</v>
      </c>
      <c r="N8" s="268">
        <v>109153.60269792886</v>
      </c>
      <c r="O8" s="268">
        <v>109153.60269792886</v>
      </c>
      <c r="P8" s="268">
        <v>109153.60269792886</v>
      </c>
      <c r="Q8" s="268">
        <v>109153.60269792886</v>
      </c>
      <c r="R8" s="268">
        <v>1309843.2323751466</v>
      </c>
    </row>
    <row r="9" spans="1:18" ht="15">
      <c r="A9">
        <v>551</v>
      </c>
      <c r="B9" t="s">
        <v>447</v>
      </c>
      <c r="D9" s="267">
        <f t="shared" si="0"/>
        <v>0.08818567047673452</v>
      </c>
      <c r="E9" s="574">
        <v>569324.0728413431</v>
      </c>
      <c r="F9" s="268">
        <v>47443.67273677859</v>
      </c>
      <c r="G9" s="268">
        <v>47443.67273677859</v>
      </c>
      <c r="H9" s="268">
        <v>47443.67273677859</v>
      </c>
      <c r="I9" s="268">
        <v>47443.67273677859</v>
      </c>
      <c r="J9" s="268">
        <v>47443.67273677859</v>
      </c>
      <c r="K9" s="268">
        <v>47443.67273677859</v>
      </c>
      <c r="L9" s="268">
        <v>47443.67273677859</v>
      </c>
      <c r="M9" s="268">
        <v>47443.67273677859</v>
      </c>
      <c r="N9" s="268">
        <v>47443.67273677859</v>
      </c>
      <c r="O9" s="268">
        <v>47443.67273677859</v>
      </c>
      <c r="P9" s="268">
        <v>47443.67273677859</v>
      </c>
      <c r="Q9" s="268">
        <v>47443.67273677859</v>
      </c>
      <c r="R9" s="268">
        <v>569324.0728413432</v>
      </c>
    </row>
    <row r="10" spans="1:18" ht="15">
      <c r="A10">
        <v>552</v>
      </c>
      <c r="B10" t="s">
        <v>448</v>
      </c>
      <c r="D10" s="267">
        <f t="shared" si="0"/>
        <v>0.04347163442106408</v>
      </c>
      <c r="E10" s="574">
        <v>280651.58237017225</v>
      </c>
      <c r="F10" s="268">
        <v>22142.383808826256</v>
      </c>
      <c r="G10" s="268">
        <v>22142.383808826256</v>
      </c>
      <c r="H10" s="268">
        <v>22142.383808826256</v>
      </c>
      <c r="I10" s="268">
        <v>22142.383808826256</v>
      </c>
      <c r="J10" s="268">
        <v>22142.383808826256</v>
      </c>
      <c r="K10" s="268">
        <v>22142.383808826256</v>
      </c>
      <c r="L10" s="268">
        <v>22142.383808826256</v>
      </c>
      <c r="M10" s="268">
        <v>22142.383808826256</v>
      </c>
      <c r="N10" s="268">
        <v>22142.383808826256</v>
      </c>
      <c r="O10" s="268">
        <v>22142.383808826256</v>
      </c>
      <c r="P10" s="268">
        <v>37085.36047308346</v>
      </c>
      <c r="Q10" s="268">
        <v>22142.383808826256</v>
      </c>
      <c r="R10" s="268">
        <v>280651.5823701723</v>
      </c>
    </row>
    <row r="11" spans="1:18" ht="15">
      <c r="A11">
        <v>553</v>
      </c>
      <c r="B11" t="s">
        <v>449</v>
      </c>
      <c r="D11" s="267">
        <f t="shared" si="0"/>
        <v>0.2360438711048587</v>
      </c>
      <c r="E11" s="574">
        <v>1523892.2303381395</v>
      </c>
      <c r="F11" s="268">
        <v>113583.19516447569</v>
      </c>
      <c r="G11" s="268">
        <v>113583.19516447569</v>
      </c>
      <c r="H11" s="268">
        <v>113583.19516447569</v>
      </c>
      <c r="I11" s="268">
        <v>113583.19516447569</v>
      </c>
      <c r="J11" s="268">
        <v>113583.19516447569</v>
      </c>
      <c r="K11" s="268">
        <v>113583.19516447569</v>
      </c>
      <c r="L11" s="268">
        <v>113583.19516447569</v>
      </c>
      <c r="M11" s="268">
        <v>113583.19516447569</v>
      </c>
      <c r="N11" s="268">
        <v>113583.19516447569</v>
      </c>
      <c r="O11" s="268">
        <v>113583.19516447569</v>
      </c>
      <c r="P11" s="268">
        <v>274477.08352890686</v>
      </c>
      <c r="Q11" s="268">
        <v>113583.19516447569</v>
      </c>
      <c r="R11" s="268">
        <v>1523892.2303381392</v>
      </c>
    </row>
    <row r="12" spans="1:18" ht="15">
      <c r="A12">
        <v>554</v>
      </c>
      <c r="B12" t="s">
        <v>450</v>
      </c>
      <c r="D12" s="267">
        <f t="shared" si="0"/>
        <v>0.02828510755327329</v>
      </c>
      <c r="E12" s="574">
        <v>182607.81537328614</v>
      </c>
      <c r="F12" s="268">
        <v>15197.296306843318</v>
      </c>
      <c r="G12" s="268">
        <v>15197.296306843318</v>
      </c>
      <c r="H12" s="268">
        <v>15197.296306843318</v>
      </c>
      <c r="I12" s="268">
        <v>15197.296306843318</v>
      </c>
      <c r="J12" s="268">
        <v>15197.296306843318</v>
      </c>
      <c r="K12" s="268">
        <v>15197.296306843318</v>
      </c>
      <c r="L12" s="268">
        <v>15197.296306843318</v>
      </c>
      <c r="M12" s="268">
        <v>15197.296306843318</v>
      </c>
      <c r="N12" s="268">
        <v>15197.296306843318</v>
      </c>
      <c r="O12" s="268">
        <v>15197.296306843318</v>
      </c>
      <c r="P12" s="268">
        <v>15437.555998009619</v>
      </c>
      <c r="Q12" s="268">
        <v>15197.296306843318</v>
      </c>
      <c r="R12" s="268">
        <v>182607.81537328614</v>
      </c>
    </row>
    <row r="13" spans="4:18" ht="15.75" thickBot="1">
      <c r="D13" s="575">
        <f>SUM(D6:D12)</f>
        <v>0.9999999999999999</v>
      </c>
      <c r="E13" s="576">
        <f>SUM(E6:E12)</f>
        <v>6455970.338078275</v>
      </c>
      <c r="F13" s="247">
        <f>SUM(F6:F12)</f>
        <v>523324.4344465351</v>
      </c>
      <c r="G13" s="247">
        <f aca="true" t="shared" si="1" ref="G13:R13">SUM(G6:G12)</f>
        <v>523324.4344465351</v>
      </c>
      <c r="H13" s="247">
        <f t="shared" si="1"/>
        <v>523324.4344465351</v>
      </c>
      <c r="I13" s="247">
        <f t="shared" si="1"/>
        <v>523324.4344465351</v>
      </c>
      <c r="J13" s="247">
        <f t="shared" si="1"/>
        <v>523324.4344465351</v>
      </c>
      <c r="K13" s="247">
        <f t="shared" si="1"/>
        <v>523324.4344465351</v>
      </c>
      <c r="L13" s="247">
        <f t="shared" si="1"/>
        <v>523324.4344465351</v>
      </c>
      <c r="M13" s="247">
        <f t="shared" si="1"/>
        <v>523324.4344465351</v>
      </c>
      <c r="N13" s="247">
        <f t="shared" si="1"/>
        <v>523324.4344465351</v>
      </c>
      <c r="O13" s="247">
        <f t="shared" si="1"/>
        <v>523324.4344465351</v>
      </c>
      <c r="P13" s="247">
        <f t="shared" si="1"/>
        <v>699401.5591663898</v>
      </c>
      <c r="Q13" s="247">
        <f t="shared" si="1"/>
        <v>523324.4344465351</v>
      </c>
      <c r="R13" s="247">
        <f t="shared" si="1"/>
        <v>6455970.338078275</v>
      </c>
    </row>
    <row r="14" ht="15">
      <c r="A14" s="240" t="s">
        <v>475</v>
      </c>
    </row>
    <row r="15" spans="1:5" ht="15">
      <c r="A15" s="240"/>
      <c r="B15" t="s">
        <v>482</v>
      </c>
      <c r="D15" s="248">
        <v>0.30907554719397656</v>
      </c>
      <c r="E15" s="577">
        <v>2550800.4909918886</v>
      </c>
    </row>
    <row r="16" spans="1:5" ht="15">
      <c r="A16" s="240"/>
      <c r="B16" t="s">
        <v>566</v>
      </c>
      <c r="E16" s="577">
        <v>88439.28525525518</v>
      </c>
    </row>
    <row r="17" spans="1:17" ht="15">
      <c r="A17">
        <v>925103</v>
      </c>
      <c r="B17" s="278" t="s">
        <v>468</v>
      </c>
      <c r="C17" s="578">
        <v>0.0059</v>
      </c>
      <c r="D17" s="278"/>
      <c r="E17" s="269">
        <f>SUM(F17:Q17)</f>
        <v>15049.72289685214</v>
      </c>
      <c r="F17" s="270">
        <f aca="true" t="shared" si="2" ref="F17:Q17">+($E$15*$C$17)/12</f>
        <v>1254.1435747376786</v>
      </c>
      <c r="G17" s="270">
        <f t="shared" si="2"/>
        <v>1254.1435747376786</v>
      </c>
      <c r="H17" s="270">
        <f t="shared" si="2"/>
        <v>1254.1435747376786</v>
      </c>
      <c r="I17" s="270">
        <f t="shared" si="2"/>
        <v>1254.1435747376786</v>
      </c>
      <c r="J17" s="270">
        <f t="shared" si="2"/>
        <v>1254.1435747376786</v>
      </c>
      <c r="K17" s="270">
        <f t="shared" si="2"/>
        <v>1254.1435747376786</v>
      </c>
      <c r="L17" s="270">
        <f t="shared" si="2"/>
        <v>1254.1435747376786</v>
      </c>
      <c r="M17" s="270">
        <f t="shared" si="2"/>
        <v>1254.1435747376786</v>
      </c>
      <c r="N17" s="270">
        <f t="shared" si="2"/>
        <v>1254.1435747376786</v>
      </c>
      <c r="O17" s="270">
        <f t="shared" si="2"/>
        <v>1254.1435747376786</v>
      </c>
      <c r="P17" s="270">
        <f t="shared" si="2"/>
        <v>1254.1435747376786</v>
      </c>
      <c r="Q17" s="270">
        <f t="shared" si="2"/>
        <v>1254.1435747376786</v>
      </c>
    </row>
    <row r="18" spans="1:17" ht="15">
      <c r="A18">
        <v>926000</v>
      </c>
      <c r="B18" s="278" t="s">
        <v>470</v>
      </c>
      <c r="C18" s="578">
        <v>0.1006</v>
      </c>
      <c r="D18" s="278"/>
      <c r="E18" s="269">
        <f>SUM(F18:Q18)</f>
        <v>256610.52939378392</v>
      </c>
      <c r="F18" s="270">
        <f aca="true" t="shared" si="3" ref="F18:Q18">+($E$15*$C$18)/12</f>
        <v>21384.21078281533</v>
      </c>
      <c r="G18" s="270">
        <f t="shared" si="3"/>
        <v>21384.21078281533</v>
      </c>
      <c r="H18" s="270">
        <f t="shared" si="3"/>
        <v>21384.21078281533</v>
      </c>
      <c r="I18" s="270">
        <f t="shared" si="3"/>
        <v>21384.21078281533</v>
      </c>
      <c r="J18" s="270">
        <f t="shared" si="3"/>
        <v>21384.21078281533</v>
      </c>
      <c r="K18" s="270">
        <f t="shared" si="3"/>
        <v>21384.21078281533</v>
      </c>
      <c r="L18" s="270">
        <f t="shared" si="3"/>
        <v>21384.21078281533</v>
      </c>
      <c r="M18" s="270">
        <f t="shared" si="3"/>
        <v>21384.21078281533</v>
      </c>
      <c r="N18" s="270">
        <f t="shared" si="3"/>
        <v>21384.21078281533</v>
      </c>
      <c r="O18" s="270">
        <f t="shared" si="3"/>
        <v>21384.21078281533</v>
      </c>
      <c r="P18" s="270">
        <f t="shared" si="3"/>
        <v>21384.21078281533</v>
      </c>
      <c r="Q18" s="270">
        <f t="shared" si="3"/>
        <v>21384.21078281533</v>
      </c>
    </row>
    <row r="20" spans="1:17" ht="15">
      <c r="A20">
        <v>408000</v>
      </c>
      <c r="B20" s="278" t="s">
        <v>469</v>
      </c>
      <c r="C20" s="271">
        <v>0.0648</v>
      </c>
      <c r="D20" s="278"/>
      <c r="E20" s="269">
        <f>SUM(F20:Q20)</f>
        <v>165291.87181627436</v>
      </c>
      <c r="F20" s="270">
        <f aca="true" t="shared" si="4" ref="F20:Q20">+($E$15*$C$20)/12</f>
        <v>13774.322651356197</v>
      </c>
      <c r="G20" s="270">
        <f t="shared" si="4"/>
        <v>13774.322651356197</v>
      </c>
      <c r="H20" s="270">
        <f t="shared" si="4"/>
        <v>13774.322651356197</v>
      </c>
      <c r="I20" s="270">
        <f t="shared" si="4"/>
        <v>13774.322651356197</v>
      </c>
      <c r="J20" s="270">
        <f t="shared" si="4"/>
        <v>13774.322651356197</v>
      </c>
      <c r="K20" s="270">
        <f t="shared" si="4"/>
        <v>13774.322651356197</v>
      </c>
      <c r="L20" s="270">
        <f t="shared" si="4"/>
        <v>13774.322651356197</v>
      </c>
      <c r="M20" s="270">
        <f t="shared" si="4"/>
        <v>13774.322651356197</v>
      </c>
      <c r="N20" s="270">
        <f t="shared" si="4"/>
        <v>13774.322651356197</v>
      </c>
      <c r="O20" s="270">
        <f t="shared" si="4"/>
        <v>13774.322651356197</v>
      </c>
      <c r="P20" s="270">
        <f t="shared" si="4"/>
        <v>13774.322651356197</v>
      </c>
      <c r="Q20" s="270">
        <f t="shared" si="4"/>
        <v>13774.322651356197</v>
      </c>
    </row>
    <row r="21" spans="1:17" ht="15">
      <c r="A21">
        <v>408000</v>
      </c>
      <c r="B21" s="278" t="s">
        <v>469</v>
      </c>
      <c r="C21" s="271"/>
      <c r="D21" s="278"/>
      <c r="E21" s="269">
        <f>SUM(F21:Q21)</f>
        <v>5730.865684540536</v>
      </c>
      <c r="F21" s="270">
        <f>+($E$16*$C$20)/12</f>
        <v>477.5721403783779</v>
      </c>
      <c r="G21" s="270">
        <f aca="true" t="shared" si="5" ref="G21:Q21">+($E$16*$C$20)/12</f>
        <v>477.5721403783779</v>
      </c>
      <c r="H21" s="270">
        <f t="shared" si="5"/>
        <v>477.5721403783779</v>
      </c>
      <c r="I21" s="270">
        <f t="shared" si="5"/>
        <v>477.5721403783779</v>
      </c>
      <c r="J21" s="270">
        <f t="shared" si="5"/>
        <v>477.5721403783779</v>
      </c>
      <c r="K21" s="270">
        <f t="shared" si="5"/>
        <v>477.5721403783779</v>
      </c>
      <c r="L21" s="270">
        <f t="shared" si="5"/>
        <v>477.5721403783779</v>
      </c>
      <c r="M21" s="270">
        <f t="shared" si="5"/>
        <v>477.5721403783779</v>
      </c>
      <c r="N21" s="270">
        <f t="shared" si="5"/>
        <v>477.5721403783779</v>
      </c>
      <c r="O21" s="270">
        <f t="shared" si="5"/>
        <v>477.5721403783779</v>
      </c>
      <c r="P21" s="270">
        <f t="shared" si="5"/>
        <v>477.5721403783779</v>
      </c>
      <c r="Q21" s="270">
        <f t="shared" si="5"/>
        <v>477.5721403783779</v>
      </c>
    </row>
    <row r="23" spans="2:17" ht="15">
      <c r="B23" s="278" t="s">
        <v>483</v>
      </c>
      <c r="E23" s="579">
        <f>SUM(F23:Q23)</f>
        <v>-442682.98979145096</v>
      </c>
      <c r="F23" s="270">
        <f>-SUM(F17:F21)</f>
        <v>-36890.24914928758</v>
      </c>
      <c r="G23" s="270">
        <f aca="true" t="shared" si="6" ref="G23:Q23">-SUM(G17:G21)</f>
        <v>-36890.24914928758</v>
      </c>
      <c r="H23" s="270">
        <f t="shared" si="6"/>
        <v>-36890.24914928758</v>
      </c>
      <c r="I23" s="270">
        <f t="shared" si="6"/>
        <v>-36890.24914928758</v>
      </c>
      <c r="J23" s="270">
        <f t="shared" si="6"/>
        <v>-36890.24914928758</v>
      </c>
      <c r="K23" s="270">
        <f t="shared" si="6"/>
        <v>-36890.24914928758</v>
      </c>
      <c r="L23" s="270">
        <f t="shared" si="6"/>
        <v>-36890.24914928758</v>
      </c>
      <c r="M23" s="270">
        <f t="shared" si="6"/>
        <v>-36890.24914928758</v>
      </c>
      <c r="N23" s="270">
        <f t="shared" si="6"/>
        <v>-36890.24914928758</v>
      </c>
      <c r="O23" s="270">
        <f t="shared" si="6"/>
        <v>-36890.24914928758</v>
      </c>
      <c r="P23" s="270">
        <f t="shared" si="6"/>
        <v>-36890.24914928758</v>
      </c>
      <c r="Q23" s="270">
        <f t="shared" si="6"/>
        <v>-36890.24914928758</v>
      </c>
    </row>
    <row r="26" spans="2:5" ht="15">
      <c r="B26" s="278" t="s">
        <v>471</v>
      </c>
      <c r="C26" s="278"/>
      <c r="D26" s="278"/>
      <c r="E26" s="245">
        <f>+E13</f>
        <v>6455970.338078275</v>
      </c>
    </row>
    <row r="27" spans="2:5" ht="15">
      <c r="B27" s="278" t="s">
        <v>472</v>
      </c>
      <c r="C27" s="278"/>
      <c r="D27" s="278"/>
      <c r="E27" s="272">
        <f>-E17-E18</f>
        <v>-271660.25229063607</v>
      </c>
    </row>
    <row r="28" spans="2:5" ht="15">
      <c r="B28" s="278" t="s">
        <v>473</v>
      </c>
      <c r="C28" s="278"/>
      <c r="D28" s="278"/>
      <c r="E28" s="270">
        <f>-E20-E21</f>
        <v>-171022.7375008149</v>
      </c>
    </row>
    <row r="29" spans="2:5" ht="15">
      <c r="B29" s="278" t="s">
        <v>474</v>
      </c>
      <c r="C29" s="278"/>
      <c r="D29" s="278"/>
      <c r="E29" s="247">
        <f>+E26+E27+E28</f>
        <v>6013287.348286824</v>
      </c>
    </row>
    <row r="30" spans="5:8" ht="409.5">
      <c r="E30" s="278" t="s">
        <v>300</v>
      </c>
      <c r="F30" s="278" t="s">
        <v>451</v>
      </c>
      <c r="G30" s="278" t="s">
        <v>452</v>
      </c>
      <c r="H30" s="581" t="s">
        <v>66</v>
      </c>
    </row>
    <row r="31" spans="5:8" ht="15">
      <c r="E31" s="246">
        <v>0.0629</v>
      </c>
      <c r="F31" s="246">
        <v>0.0004</v>
      </c>
      <c r="G31" s="246">
        <v>0.0016</v>
      </c>
      <c r="H31" s="246">
        <f>+SUM(E31:G31)</f>
        <v>0.0649</v>
      </c>
    </row>
    <row r="32" spans="5:8" ht="15">
      <c r="E32" s="248">
        <f>+E31/$H$31</f>
        <v>0.9691833590138674</v>
      </c>
      <c r="F32" s="248">
        <f>+F31/$H$31</f>
        <v>0.0061633281972265025</v>
      </c>
      <c r="G32" s="248">
        <f>+G31/$H$31</f>
        <v>0.02465331278890601</v>
      </c>
      <c r="H32" s="246">
        <f>+SUM(E32:G32)</f>
        <v>1</v>
      </c>
    </row>
    <row r="34" spans="2:6" ht="15" thickBot="1">
      <c r="B34" s="268"/>
      <c r="C34" s="268"/>
      <c r="D34" s="268"/>
      <c r="E34" s="249"/>
      <c r="F34" s="580"/>
    </row>
    <row r="35" spans="2:18" ht="30">
      <c r="B35" t="s">
        <v>484</v>
      </c>
      <c r="D35" s="571" t="s">
        <v>480</v>
      </c>
      <c r="E35" s="572" t="s">
        <v>455</v>
      </c>
      <c r="F35" s="278" t="s">
        <v>456</v>
      </c>
      <c r="G35" s="278" t="s">
        <v>457</v>
      </c>
      <c r="H35" s="278" t="s">
        <v>458</v>
      </c>
      <c r="I35" s="278" t="s">
        <v>459</v>
      </c>
      <c r="J35" s="278" t="s">
        <v>460</v>
      </c>
      <c r="K35" s="278" t="s">
        <v>461</v>
      </c>
      <c r="L35" s="278" t="s">
        <v>462</v>
      </c>
      <c r="M35" s="278" t="s">
        <v>463</v>
      </c>
      <c r="N35" s="278" t="s">
        <v>464</v>
      </c>
      <c r="O35" s="278" t="s">
        <v>465</v>
      </c>
      <c r="P35" s="278" t="s">
        <v>466</v>
      </c>
      <c r="Q35" s="278" t="s">
        <v>467</v>
      </c>
      <c r="R35" s="278" t="s">
        <v>481</v>
      </c>
    </row>
    <row r="36" spans="4:5" ht="15">
      <c r="D36" s="573"/>
      <c r="E36" s="573"/>
    </row>
    <row r="37" spans="1:18" ht="15">
      <c r="A37">
        <v>546</v>
      </c>
      <c r="B37" t="s">
        <v>453</v>
      </c>
      <c r="D37" s="267">
        <v>0.24243190218032648</v>
      </c>
      <c r="E37" s="574">
        <f>SUM(F37:Q37)</f>
        <v>-107320.47927801551</v>
      </c>
      <c r="F37" s="268">
        <f aca="true" t="shared" si="7" ref="F37:Q37">+$F$23*$D$37</f>
        <v>-8943.373273167957</v>
      </c>
      <c r="G37" s="268">
        <f t="shared" si="7"/>
        <v>-8943.373273167957</v>
      </c>
      <c r="H37" s="268">
        <f t="shared" si="7"/>
        <v>-8943.373273167957</v>
      </c>
      <c r="I37" s="268">
        <f t="shared" si="7"/>
        <v>-8943.373273167957</v>
      </c>
      <c r="J37" s="268">
        <f t="shared" si="7"/>
        <v>-8943.373273167957</v>
      </c>
      <c r="K37" s="268">
        <f t="shared" si="7"/>
        <v>-8943.373273167957</v>
      </c>
      <c r="L37" s="268">
        <f t="shared" si="7"/>
        <v>-8943.373273167957</v>
      </c>
      <c r="M37" s="268">
        <f t="shared" si="7"/>
        <v>-8943.373273167957</v>
      </c>
      <c r="N37" s="268">
        <f t="shared" si="7"/>
        <v>-8943.373273167957</v>
      </c>
      <c r="O37" s="268">
        <f t="shared" si="7"/>
        <v>-8943.373273167957</v>
      </c>
      <c r="P37" s="268">
        <f t="shared" si="7"/>
        <v>-8943.373273167957</v>
      </c>
      <c r="Q37" s="268">
        <f t="shared" si="7"/>
        <v>-8943.373273167957</v>
      </c>
      <c r="R37" s="268">
        <f>SUM(F37:Q37)</f>
        <v>-107320.47927801551</v>
      </c>
    </row>
    <row r="38" spans="1:18" ht="15">
      <c r="A38">
        <v>548</v>
      </c>
      <c r="B38" t="s">
        <v>454</v>
      </c>
      <c r="D38" s="267">
        <v>0.1586931447403568</v>
      </c>
      <c r="E38" s="574">
        <f aca="true" t="shared" si="8" ref="E38:E43">SUM(F38:Q38)</f>
        <v>-70250.75577306862</v>
      </c>
      <c r="F38" s="268">
        <f aca="true" t="shared" si="9" ref="F38:Q38">+$F$23*$D$38</f>
        <v>-5854.229647755718</v>
      </c>
      <c r="G38" s="268">
        <f t="shared" si="9"/>
        <v>-5854.229647755718</v>
      </c>
      <c r="H38" s="268">
        <f t="shared" si="9"/>
        <v>-5854.229647755718</v>
      </c>
      <c r="I38" s="268">
        <f t="shared" si="9"/>
        <v>-5854.229647755718</v>
      </c>
      <c r="J38" s="268">
        <f t="shared" si="9"/>
        <v>-5854.229647755718</v>
      </c>
      <c r="K38" s="268">
        <f t="shared" si="9"/>
        <v>-5854.229647755718</v>
      </c>
      <c r="L38" s="268">
        <f t="shared" si="9"/>
        <v>-5854.229647755718</v>
      </c>
      <c r="M38" s="268">
        <f t="shared" si="9"/>
        <v>-5854.229647755718</v>
      </c>
      <c r="N38" s="268">
        <f t="shared" si="9"/>
        <v>-5854.229647755718</v>
      </c>
      <c r="O38" s="268">
        <f t="shared" si="9"/>
        <v>-5854.229647755718</v>
      </c>
      <c r="P38" s="268">
        <f t="shared" si="9"/>
        <v>-5854.229647755718</v>
      </c>
      <c r="Q38" s="268">
        <f t="shared" si="9"/>
        <v>-5854.229647755718</v>
      </c>
      <c r="R38" s="268">
        <f aca="true" t="shared" si="10" ref="R38:R44">SUM(F38:Q38)</f>
        <v>-70250.75577306862</v>
      </c>
    </row>
    <row r="39" spans="1:18" ht="15">
      <c r="A39">
        <v>549</v>
      </c>
      <c r="B39" t="s">
        <v>446</v>
      </c>
      <c r="D39" s="267">
        <v>0.20288866952338613</v>
      </c>
      <c r="E39" s="574">
        <f t="shared" si="8"/>
        <v>-89815.36281942221</v>
      </c>
      <c r="F39" s="268">
        <f aca="true" t="shared" si="11" ref="F39:Q39">+$F$23*$D$39</f>
        <v>-7484.613568285184</v>
      </c>
      <c r="G39" s="268">
        <f t="shared" si="11"/>
        <v>-7484.613568285184</v>
      </c>
      <c r="H39" s="268">
        <f t="shared" si="11"/>
        <v>-7484.613568285184</v>
      </c>
      <c r="I39" s="268">
        <f t="shared" si="11"/>
        <v>-7484.613568285184</v>
      </c>
      <c r="J39" s="268">
        <f t="shared" si="11"/>
        <v>-7484.613568285184</v>
      </c>
      <c r="K39" s="268">
        <f t="shared" si="11"/>
        <v>-7484.613568285184</v>
      </c>
      <c r="L39" s="268">
        <f t="shared" si="11"/>
        <v>-7484.613568285184</v>
      </c>
      <c r="M39" s="268">
        <f t="shared" si="11"/>
        <v>-7484.613568285184</v>
      </c>
      <c r="N39" s="268">
        <f t="shared" si="11"/>
        <v>-7484.613568285184</v>
      </c>
      <c r="O39" s="268">
        <f t="shared" si="11"/>
        <v>-7484.613568285184</v>
      </c>
      <c r="P39" s="268">
        <f t="shared" si="11"/>
        <v>-7484.613568285184</v>
      </c>
      <c r="Q39" s="268">
        <f t="shared" si="11"/>
        <v>-7484.613568285184</v>
      </c>
      <c r="R39" s="268">
        <f t="shared" si="10"/>
        <v>-89815.36281942221</v>
      </c>
    </row>
    <row r="40" spans="1:18" ht="15">
      <c r="A40">
        <v>551</v>
      </c>
      <c r="B40" t="s">
        <v>447</v>
      </c>
      <c r="D40" s="267">
        <v>0.08818567047673453</v>
      </c>
      <c r="E40" s="574">
        <f t="shared" si="8"/>
        <v>-39038.29626340453</v>
      </c>
      <c r="F40" s="268">
        <f aca="true" t="shared" si="12" ref="F40:Q40">+$F$23*$D$40</f>
        <v>-3253.191355283711</v>
      </c>
      <c r="G40" s="268">
        <f t="shared" si="12"/>
        <v>-3253.191355283711</v>
      </c>
      <c r="H40" s="268">
        <f t="shared" si="12"/>
        <v>-3253.191355283711</v>
      </c>
      <c r="I40" s="268">
        <f t="shared" si="12"/>
        <v>-3253.191355283711</v>
      </c>
      <c r="J40" s="268">
        <f t="shared" si="12"/>
        <v>-3253.191355283711</v>
      </c>
      <c r="K40" s="268">
        <f t="shared" si="12"/>
        <v>-3253.191355283711</v>
      </c>
      <c r="L40" s="268">
        <f t="shared" si="12"/>
        <v>-3253.191355283711</v>
      </c>
      <c r="M40" s="268">
        <f t="shared" si="12"/>
        <v>-3253.191355283711</v>
      </c>
      <c r="N40" s="268">
        <f t="shared" si="12"/>
        <v>-3253.191355283711</v>
      </c>
      <c r="O40" s="268">
        <f t="shared" si="12"/>
        <v>-3253.191355283711</v>
      </c>
      <c r="P40" s="268">
        <f t="shared" si="12"/>
        <v>-3253.191355283711</v>
      </c>
      <c r="Q40" s="268">
        <f t="shared" si="12"/>
        <v>-3253.191355283711</v>
      </c>
      <c r="R40" s="268">
        <f t="shared" si="10"/>
        <v>-39038.29626340453</v>
      </c>
    </row>
    <row r="41" spans="1:18" ht="15">
      <c r="A41">
        <v>552</v>
      </c>
      <c r="B41" t="s">
        <v>448</v>
      </c>
      <c r="D41" s="267">
        <v>0.04347163442106409</v>
      </c>
      <c r="E41" s="574">
        <f t="shared" si="8"/>
        <v>-19244.1530966376</v>
      </c>
      <c r="F41" s="268">
        <f aca="true" t="shared" si="13" ref="F41:Q41">+$F$23*$D$41</f>
        <v>-1603.6794247198002</v>
      </c>
      <c r="G41" s="268">
        <f t="shared" si="13"/>
        <v>-1603.6794247198002</v>
      </c>
      <c r="H41" s="268">
        <f t="shared" si="13"/>
        <v>-1603.6794247198002</v>
      </c>
      <c r="I41" s="268">
        <f t="shared" si="13"/>
        <v>-1603.6794247198002</v>
      </c>
      <c r="J41" s="268">
        <f t="shared" si="13"/>
        <v>-1603.6794247198002</v>
      </c>
      <c r="K41" s="268">
        <f t="shared" si="13"/>
        <v>-1603.6794247198002</v>
      </c>
      <c r="L41" s="268">
        <f t="shared" si="13"/>
        <v>-1603.6794247198002</v>
      </c>
      <c r="M41" s="268">
        <f t="shared" si="13"/>
        <v>-1603.6794247198002</v>
      </c>
      <c r="N41" s="268">
        <f t="shared" si="13"/>
        <v>-1603.6794247198002</v>
      </c>
      <c r="O41" s="268">
        <f t="shared" si="13"/>
        <v>-1603.6794247198002</v>
      </c>
      <c r="P41" s="268">
        <f t="shared" si="13"/>
        <v>-1603.6794247198002</v>
      </c>
      <c r="Q41" s="268">
        <f t="shared" si="13"/>
        <v>-1603.6794247198002</v>
      </c>
      <c r="R41" s="268">
        <f t="shared" si="10"/>
        <v>-19244.1530966376</v>
      </c>
    </row>
    <row r="42" spans="1:18" ht="15">
      <c r="A42">
        <v>553</v>
      </c>
      <c r="B42" t="s">
        <v>449</v>
      </c>
      <c r="D42" s="267">
        <v>0.23604387110485867</v>
      </c>
      <c r="E42" s="574">
        <f t="shared" si="8"/>
        <v>-104492.60658264671</v>
      </c>
      <c r="F42" s="268">
        <f aca="true" t="shared" si="14" ref="F42:Q42">+$F$23*$D$42</f>
        <v>-8707.717215220559</v>
      </c>
      <c r="G42" s="268">
        <f t="shared" si="14"/>
        <v>-8707.717215220559</v>
      </c>
      <c r="H42" s="268">
        <f t="shared" si="14"/>
        <v>-8707.717215220559</v>
      </c>
      <c r="I42" s="268">
        <f t="shared" si="14"/>
        <v>-8707.717215220559</v>
      </c>
      <c r="J42" s="268">
        <f t="shared" si="14"/>
        <v>-8707.717215220559</v>
      </c>
      <c r="K42" s="268">
        <f t="shared" si="14"/>
        <v>-8707.717215220559</v>
      </c>
      <c r="L42" s="268">
        <f t="shared" si="14"/>
        <v>-8707.717215220559</v>
      </c>
      <c r="M42" s="268">
        <f t="shared" si="14"/>
        <v>-8707.717215220559</v>
      </c>
      <c r="N42" s="268">
        <f t="shared" si="14"/>
        <v>-8707.717215220559</v>
      </c>
      <c r="O42" s="268">
        <f t="shared" si="14"/>
        <v>-8707.717215220559</v>
      </c>
      <c r="P42" s="268">
        <f t="shared" si="14"/>
        <v>-8707.717215220559</v>
      </c>
      <c r="Q42" s="268">
        <f t="shared" si="14"/>
        <v>-8707.717215220559</v>
      </c>
      <c r="R42" s="268">
        <f t="shared" si="10"/>
        <v>-104492.60658264671</v>
      </c>
    </row>
    <row r="43" spans="1:18" ht="15">
      <c r="A43">
        <v>554</v>
      </c>
      <c r="B43" t="s">
        <v>450</v>
      </c>
      <c r="D43" s="267">
        <v>0.02828510755327329</v>
      </c>
      <c r="E43" s="574">
        <f t="shared" si="8"/>
        <v>-12521.335978255769</v>
      </c>
      <c r="F43" s="268">
        <f aca="true" t="shared" si="15" ref="F43:Q43">+$F$23*$D$43</f>
        <v>-1043.4446648546475</v>
      </c>
      <c r="G43" s="268">
        <f t="shared" si="15"/>
        <v>-1043.4446648546475</v>
      </c>
      <c r="H43" s="268">
        <f t="shared" si="15"/>
        <v>-1043.4446648546475</v>
      </c>
      <c r="I43" s="268">
        <f t="shared" si="15"/>
        <v>-1043.4446648546475</v>
      </c>
      <c r="J43" s="268">
        <f t="shared" si="15"/>
        <v>-1043.4446648546475</v>
      </c>
      <c r="K43" s="268">
        <f t="shared" si="15"/>
        <v>-1043.4446648546475</v>
      </c>
      <c r="L43" s="268">
        <f t="shared" si="15"/>
        <v>-1043.4446648546475</v>
      </c>
      <c r="M43" s="268">
        <f t="shared" si="15"/>
        <v>-1043.4446648546475</v>
      </c>
      <c r="N43" s="268">
        <f t="shared" si="15"/>
        <v>-1043.4446648546475</v>
      </c>
      <c r="O43" s="268">
        <f t="shared" si="15"/>
        <v>-1043.4446648546475</v>
      </c>
      <c r="P43" s="268">
        <f t="shared" si="15"/>
        <v>-1043.4446648546475</v>
      </c>
      <c r="Q43" s="268">
        <f t="shared" si="15"/>
        <v>-1043.4446648546475</v>
      </c>
      <c r="R43" s="268">
        <f t="shared" si="10"/>
        <v>-12521.335978255769</v>
      </c>
    </row>
    <row r="44" spans="4:18" ht="15.75" thickBot="1">
      <c r="D44" s="575">
        <f>SUM(D37:D43)</f>
        <v>1</v>
      </c>
      <c r="E44" s="576">
        <f>SUM(E37:E43)</f>
        <v>-442682.98979145096</v>
      </c>
      <c r="F44" s="582">
        <f>SUM(F37:F43)</f>
        <v>-36890.249149287585</v>
      </c>
      <c r="G44" s="582">
        <f aca="true" t="shared" si="16" ref="G44:Q44">SUM(G37:G43)</f>
        <v>-36890.249149287585</v>
      </c>
      <c r="H44" s="582">
        <f t="shared" si="16"/>
        <v>-36890.249149287585</v>
      </c>
      <c r="I44" s="582">
        <f t="shared" si="16"/>
        <v>-36890.249149287585</v>
      </c>
      <c r="J44" s="582">
        <f t="shared" si="16"/>
        <v>-36890.249149287585</v>
      </c>
      <c r="K44" s="582">
        <f t="shared" si="16"/>
        <v>-36890.249149287585</v>
      </c>
      <c r="L44" s="582">
        <f t="shared" si="16"/>
        <v>-36890.249149287585</v>
      </c>
      <c r="M44" s="582">
        <f t="shared" si="16"/>
        <v>-36890.249149287585</v>
      </c>
      <c r="N44" s="582">
        <f t="shared" si="16"/>
        <v>-36890.249149287585</v>
      </c>
      <c r="O44" s="582">
        <f t="shared" si="16"/>
        <v>-36890.249149287585</v>
      </c>
      <c r="P44" s="582">
        <f t="shared" si="16"/>
        <v>-36890.249149287585</v>
      </c>
      <c r="Q44" s="582">
        <f t="shared" si="16"/>
        <v>-36890.249149287585</v>
      </c>
      <c r="R44" s="273">
        <f t="shared" si="10"/>
        <v>-442682.989791451</v>
      </c>
    </row>
    <row r="45" spans="2:6" ht="15">
      <c r="B45" s="268"/>
      <c r="C45" s="268"/>
      <c r="D45" s="268"/>
      <c r="E45" s="249"/>
      <c r="F45" s="580"/>
    </row>
    <row r="46" spans="2:6" ht="15" thickBot="1">
      <c r="B46" s="268"/>
      <c r="C46" s="268"/>
      <c r="D46" s="268"/>
      <c r="E46" s="249"/>
      <c r="F46" s="580"/>
    </row>
    <row r="47" spans="1:18" s="212" customFormat="1" ht="30">
      <c r="A47" s="583"/>
      <c r="B47" s="583" t="s">
        <v>485</v>
      </c>
      <c r="C47" s="583"/>
      <c r="D47" s="584" t="s">
        <v>480</v>
      </c>
      <c r="E47" s="585" t="s">
        <v>455</v>
      </c>
      <c r="F47" s="586" t="s">
        <v>456</v>
      </c>
      <c r="G47" s="586" t="s">
        <v>457</v>
      </c>
      <c r="H47" s="586" t="s">
        <v>458</v>
      </c>
      <c r="I47" s="586" t="s">
        <v>459</v>
      </c>
      <c r="J47" s="586" t="s">
        <v>460</v>
      </c>
      <c r="K47" s="586" t="s">
        <v>461</v>
      </c>
      <c r="L47" s="586" t="s">
        <v>462</v>
      </c>
      <c r="M47" s="586" t="s">
        <v>463</v>
      </c>
      <c r="N47" s="586" t="s">
        <v>464</v>
      </c>
      <c r="O47" s="586" t="s">
        <v>465</v>
      </c>
      <c r="P47" s="586" t="s">
        <v>466</v>
      </c>
      <c r="Q47" s="586" t="s">
        <v>467</v>
      </c>
      <c r="R47" s="586" t="s">
        <v>481</v>
      </c>
    </row>
    <row r="48" spans="1:18" s="212" customFormat="1" ht="15">
      <c r="A48" s="583"/>
      <c r="B48" s="583"/>
      <c r="C48" s="583"/>
      <c r="D48" s="587"/>
      <c r="E48" s="587"/>
      <c r="F48" s="583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</row>
    <row r="49" spans="1:18" s="212" customFormat="1" ht="15">
      <c r="A49" s="583">
        <v>546</v>
      </c>
      <c r="B49" s="583" t="s">
        <v>453</v>
      </c>
      <c r="C49" s="583"/>
      <c r="D49" s="274">
        <f>+E49/$E$56</f>
        <v>0.24243190218032645</v>
      </c>
      <c r="E49" s="588">
        <f>+R49</f>
        <v>1457812.690202066</v>
      </c>
      <c r="F49" s="275">
        <f aca="true" t="shared" si="17" ref="F49:Q49">+F6+F37</f>
        <v>121484.39085017217</v>
      </c>
      <c r="G49" s="275">
        <f t="shared" si="17"/>
        <v>121484.39085017217</v>
      </c>
      <c r="H49" s="275">
        <f t="shared" si="17"/>
        <v>121484.39085017217</v>
      </c>
      <c r="I49" s="275">
        <f t="shared" si="17"/>
        <v>121484.39085017217</v>
      </c>
      <c r="J49" s="275">
        <f t="shared" si="17"/>
        <v>121484.39085017217</v>
      </c>
      <c r="K49" s="275">
        <f t="shared" si="17"/>
        <v>121484.39085017217</v>
      </c>
      <c r="L49" s="275">
        <f t="shared" si="17"/>
        <v>121484.39085017217</v>
      </c>
      <c r="M49" s="275">
        <f t="shared" si="17"/>
        <v>121484.39085017217</v>
      </c>
      <c r="N49" s="275">
        <f t="shared" si="17"/>
        <v>121484.39085017217</v>
      </c>
      <c r="O49" s="275">
        <f t="shared" si="17"/>
        <v>121484.39085017217</v>
      </c>
      <c r="P49" s="275">
        <f t="shared" si="17"/>
        <v>121484.39085017217</v>
      </c>
      <c r="Q49" s="275">
        <f t="shared" si="17"/>
        <v>121484.39085017217</v>
      </c>
      <c r="R49" s="275">
        <f>SUM(F49:Q49)</f>
        <v>1457812.690202066</v>
      </c>
    </row>
    <row r="50" spans="1:18" s="212" customFormat="1" ht="15">
      <c r="A50" s="583">
        <v>548</v>
      </c>
      <c r="B50" s="583" t="s">
        <v>454</v>
      </c>
      <c r="C50" s="583"/>
      <c r="D50" s="274">
        <f aca="true" t="shared" si="18" ref="D50:D55">+E50/$E$56</f>
        <v>0.1586931447403568</v>
      </c>
      <c r="E50" s="588">
        <f aca="true" t="shared" si="19" ref="E50:E55">+R50</f>
        <v>954267.4795270375</v>
      </c>
      <c r="F50" s="275">
        <f aca="true" t="shared" si="20" ref="F50:Q50">+F7+F38</f>
        <v>79522.28996058644</v>
      </c>
      <c r="G50" s="275">
        <f t="shared" si="20"/>
        <v>79522.28996058644</v>
      </c>
      <c r="H50" s="275">
        <f t="shared" si="20"/>
        <v>79522.28996058644</v>
      </c>
      <c r="I50" s="275">
        <f t="shared" si="20"/>
        <v>79522.28996058644</v>
      </c>
      <c r="J50" s="275">
        <f t="shared" si="20"/>
        <v>79522.28996058644</v>
      </c>
      <c r="K50" s="275">
        <f t="shared" si="20"/>
        <v>79522.28996058644</v>
      </c>
      <c r="L50" s="275">
        <f t="shared" si="20"/>
        <v>79522.28996058644</v>
      </c>
      <c r="M50" s="275">
        <f t="shared" si="20"/>
        <v>79522.28996058644</v>
      </c>
      <c r="N50" s="275">
        <f t="shared" si="20"/>
        <v>79522.28996058644</v>
      </c>
      <c r="O50" s="275">
        <f t="shared" si="20"/>
        <v>79522.28996058644</v>
      </c>
      <c r="P50" s="275">
        <f t="shared" si="20"/>
        <v>79522.28996058644</v>
      </c>
      <c r="Q50" s="275">
        <f t="shared" si="20"/>
        <v>79522.28996058644</v>
      </c>
      <c r="R50" s="275">
        <f aca="true" t="shared" si="21" ref="R50:R56">SUM(F50:Q50)</f>
        <v>954267.4795270375</v>
      </c>
    </row>
    <row r="51" spans="1:18" s="212" customFormat="1" ht="15">
      <c r="A51" s="583">
        <v>549</v>
      </c>
      <c r="B51" s="583" t="s">
        <v>446</v>
      </c>
      <c r="C51" s="583"/>
      <c r="D51" s="274">
        <f t="shared" si="18"/>
        <v>0.20288866952338608</v>
      </c>
      <c r="E51" s="588">
        <f>+R51</f>
        <v>1220027.869555724</v>
      </c>
      <c r="F51" s="275">
        <f aca="true" t="shared" si="22" ref="F51:Q51">+F8+F39</f>
        <v>101668.98912964367</v>
      </c>
      <c r="G51" s="275">
        <f t="shared" si="22"/>
        <v>101668.98912964367</v>
      </c>
      <c r="H51" s="275">
        <f t="shared" si="22"/>
        <v>101668.98912964367</v>
      </c>
      <c r="I51" s="275">
        <f t="shared" si="22"/>
        <v>101668.98912964367</v>
      </c>
      <c r="J51" s="275">
        <f t="shared" si="22"/>
        <v>101668.98912964367</v>
      </c>
      <c r="K51" s="275">
        <f t="shared" si="22"/>
        <v>101668.98912964367</v>
      </c>
      <c r="L51" s="275">
        <f t="shared" si="22"/>
        <v>101668.98912964367</v>
      </c>
      <c r="M51" s="275">
        <f t="shared" si="22"/>
        <v>101668.98912964367</v>
      </c>
      <c r="N51" s="275">
        <f t="shared" si="22"/>
        <v>101668.98912964367</v>
      </c>
      <c r="O51" s="275">
        <f t="shared" si="22"/>
        <v>101668.98912964367</v>
      </c>
      <c r="P51" s="275">
        <f t="shared" si="22"/>
        <v>101668.98912964367</v>
      </c>
      <c r="Q51" s="275">
        <f t="shared" si="22"/>
        <v>101668.98912964367</v>
      </c>
      <c r="R51" s="275">
        <f t="shared" si="21"/>
        <v>1220027.869555724</v>
      </c>
    </row>
    <row r="52" spans="1:18" s="212" customFormat="1" ht="15">
      <c r="A52" s="583">
        <v>551</v>
      </c>
      <c r="B52" s="583" t="s">
        <v>447</v>
      </c>
      <c r="C52" s="583"/>
      <c r="D52" s="274">
        <f t="shared" si="18"/>
        <v>0.08818567047673453</v>
      </c>
      <c r="E52" s="588">
        <f t="shared" si="19"/>
        <v>530285.7765779387</v>
      </c>
      <c r="F52" s="275">
        <f aca="true" t="shared" si="23" ref="F52:Q52">+F9+F40</f>
        <v>44190.48138149488</v>
      </c>
      <c r="G52" s="275">
        <f t="shared" si="23"/>
        <v>44190.48138149488</v>
      </c>
      <c r="H52" s="275">
        <f t="shared" si="23"/>
        <v>44190.48138149488</v>
      </c>
      <c r="I52" s="275">
        <f t="shared" si="23"/>
        <v>44190.48138149488</v>
      </c>
      <c r="J52" s="275">
        <f t="shared" si="23"/>
        <v>44190.48138149488</v>
      </c>
      <c r="K52" s="275">
        <f t="shared" si="23"/>
        <v>44190.48138149488</v>
      </c>
      <c r="L52" s="275">
        <f t="shared" si="23"/>
        <v>44190.48138149488</v>
      </c>
      <c r="M52" s="275">
        <f t="shared" si="23"/>
        <v>44190.48138149488</v>
      </c>
      <c r="N52" s="275">
        <f t="shared" si="23"/>
        <v>44190.48138149488</v>
      </c>
      <c r="O52" s="275">
        <f t="shared" si="23"/>
        <v>44190.48138149488</v>
      </c>
      <c r="P52" s="275">
        <f t="shared" si="23"/>
        <v>44190.48138149488</v>
      </c>
      <c r="Q52" s="275">
        <f t="shared" si="23"/>
        <v>44190.48138149488</v>
      </c>
      <c r="R52" s="275">
        <f t="shared" si="21"/>
        <v>530285.7765779387</v>
      </c>
    </row>
    <row r="53" spans="1:18" s="212" customFormat="1" ht="15">
      <c r="A53" s="583">
        <v>552</v>
      </c>
      <c r="B53" s="583" t="s">
        <v>448</v>
      </c>
      <c r="C53" s="583"/>
      <c r="D53" s="274">
        <f t="shared" si="18"/>
        <v>0.043471634421064075</v>
      </c>
      <c r="E53" s="588">
        <f t="shared" si="19"/>
        <v>261407.42927353462</v>
      </c>
      <c r="F53" s="275">
        <f aca="true" t="shared" si="24" ref="F53:Q53">+F10+F41</f>
        <v>20538.704384106455</v>
      </c>
      <c r="G53" s="275">
        <f t="shared" si="24"/>
        <v>20538.704384106455</v>
      </c>
      <c r="H53" s="275">
        <f t="shared" si="24"/>
        <v>20538.704384106455</v>
      </c>
      <c r="I53" s="275">
        <f t="shared" si="24"/>
        <v>20538.704384106455</v>
      </c>
      <c r="J53" s="275">
        <f t="shared" si="24"/>
        <v>20538.704384106455</v>
      </c>
      <c r="K53" s="275">
        <f t="shared" si="24"/>
        <v>20538.704384106455</v>
      </c>
      <c r="L53" s="275">
        <f t="shared" si="24"/>
        <v>20538.704384106455</v>
      </c>
      <c r="M53" s="275">
        <f t="shared" si="24"/>
        <v>20538.704384106455</v>
      </c>
      <c r="N53" s="275">
        <f t="shared" si="24"/>
        <v>20538.704384106455</v>
      </c>
      <c r="O53" s="275">
        <f t="shared" si="24"/>
        <v>20538.704384106455</v>
      </c>
      <c r="P53" s="275">
        <f t="shared" si="24"/>
        <v>35481.681048363665</v>
      </c>
      <c r="Q53" s="275">
        <f t="shared" si="24"/>
        <v>20538.704384106455</v>
      </c>
      <c r="R53" s="275">
        <f t="shared" si="21"/>
        <v>261407.42927353462</v>
      </c>
    </row>
    <row r="54" spans="1:18" s="212" customFormat="1" ht="409.5">
      <c r="A54" s="583">
        <v>553</v>
      </c>
      <c r="B54" s="583" t="s">
        <v>449</v>
      </c>
      <c r="C54" s="583"/>
      <c r="D54" s="274">
        <f t="shared" si="18"/>
        <v>0.2360438711048587</v>
      </c>
      <c r="E54" s="588">
        <f t="shared" si="19"/>
        <v>1419399.6237554927</v>
      </c>
      <c r="F54" s="275">
        <f aca="true" t="shared" si="25" ref="F54:Q54">+F11+F42</f>
        <v>104875.47794925513</v>
      </c>
      <c r="G54" s="275">
        <f t="shared" si="25"/>
        <v>104875.47794925513</v>
      </c>
      <c r="H54" s="275">
        <f t="shared" si="25"/>
        <v>104875.47794925513</v>
      </c>
      <c r="I54" s="275">
        <f t="shared" si="25"/>
        <v>104875.47794925513</v>
      </c>
      <c r="J54" s="275">
        <f t="shared" si="25"/>
        <v>104875.47794925513</v>
      </c>
      <c r="K54" s="275">
        <f t="shared" si="25"/>
        <v>104875.47794925513</v>
      </c>
      <c r="L54" s="275">
        <f t="shared" si="25"/>
        <v>104875.47794925513</v>
      </c>
      <c r="M54" s="275">
        <f t="shared" si="25"/>
        <v>104875.47794925513</v>
      </c>
      <c r="N54" s="275">
        <f t="shared" si="25"/>
        <v>104875.47794925513</v>
      </c>
      <c r="O54" s="275">
        <f t="shared" si="25"/>
        <v>104875.47794925513</v>
      </c>
      <c r="P54" s="275">
        <f t="shared" si="25"/>
        <v>265769.3663136863</v>
      </c>
      <c r="Q54" s="275">
        <f t="shared" si="25"/>
        <v>104875.47794925513</v>
      </c>
      <c r="R54" s="275">
        <f t="shared" si="21"/>
        <v>1419399.6237554927</v>
      </c>
    </row>
    <row r="55" spans="1:18" s="212" customFormat="1" ht="15">
      <c r="A55" s="583">
        <v>554</v>
      </c>
      <c r="B55" s="583" t="s">
        <v>450</v>
      </c>
      <c r="C55" s="583"/>
      <c r="D55" s="274">
        <f t="shared" si="18"/>
        <v>0.02828510755327329</v>
      </c>
      <c r="E55" s="588">
        <f t="shared" si="19"/>
        <v>170086.47939503036</v>
      </c>
      <c r="F55" s="275">
        <f aca="true" t="shared" si="26" ref="F55:Q55">+F12+F43</f>
        <v>14153.851641988671</v>
      </c>
      <c r="G55" s="275">
        <f t="shared" si="26"/>
        <v>14153.851641988671</v>
      </c>
      <c r="H55" s="275">
        <f t="shared" si="26"/>
        <v>14153.851641988671</v>
      </c>
      <c r="I55" s="275">
        <f t="shared" si="26"/>
        <v>14153.851641988671</v>
      </c>
      <c r="J55" s="275">
        <f t="shared" si="26"/>
        <v>14153.851641988671</v>
      </c>
      <c r="K55" s="275">
        <f t="shared" si="26"/>
        <v>14153.851641988671</v>
      </c>
      <c r="L55" s="275">
        <f t="shared" si="26"/>
        <v>14153.851641988671</v>
      </c>
      <c r="M55" s="275">
        <f t="shared" si="26"/>
        <v>14153.851641988671</v>
      </c>
      <c r="N55" s="275">
        <f t="shared" si="26"/>
        <v>14153.851641988671</v>
      </c>
      <c r="O55" s="275">
        <f t="shared" si="26"/>
        <v>14153.851641988671</v>
      </c>
      <c r="P55" s="275">
        <f t="shared" si="26"/>
        <v>14394.111333154971</v>
      </c>
      <c r="Q55" s="275">
        <f t="shared" si="26"/>
        <v>14153.851641988671</v>
      </c>
      <c r="R55" s="275">
        <f t="shared" si="21"/>
        <v>170086.47939503036</v>
      </c>
    </row>
    <row r="56" spans="1:18" s="212" customFormat="1" ht="16.5" thickBot="1">
      <c r="A56" s="583"/>
      <c r="B56" s="583"/>
      <c r="C56" s="583"/>
      <c r="D56" s="589">
        <f>SUM(D49:D55)</f>
        <v>0.9999999999999999</v>
      </c>
      <c r="E56" s="590">
        <f>SUM(E49:E55)</f>
        <v>6013287.348286824</v>
      </c>
      <c r="F56" s="591">
        <f>SUM(F49:F55)</f>
        <v>486434.18529724743</v>
      </c>
      <c r="G56" s="591">
        <f aca="true" t="shared" si="27" ref="G56:Q56">SUM(G49:G55)</f>
        <v>486434.18529724743</v>
      </c>
      <c r="H56" s="591">
        <f t="shared" si="27"/>
        <v>486434.18529724743</v>
      </c>
      <c r="I56" s="591">
        <f t="shared" si="27"/>
        <v>486434.18529724743</v>
      </c>
      <c r="J56" s="591">
        <f t="shared" si="27"/>
        <v>486434.18529724743</v>
      </c>
      <c r="K56" s="591">
        <f t="shared" si="27"/>
        <v>486434.18529724743</v>
      </c>
      <c r="L56" s="591">
        <f t="shared" si="27"/>
        <v>486434.18529724743</v>
      </c>
      <c r="M56" s="591">
        <f t="shared" si="27"/>
        <v>486434.18529724743</v>
      </c>
      <c r="N56" s="591">
        <f t="shared" si="27"/>
        <v>486434.18529724743</v>
      </c>
      <c r="O56" s="591">
        <f t="shared" si="27"/>
        <v>486434.18529724743</v>
      </c>
      <c r="P56" s="591">
        <f t="shared" si="27"/>
        <v>662511.310017102</v>
      </c>
      <c r="Q56" s="591">
        <f t="shared" si="27"/>
        <v>486434.18529724743</v>
      </c>
      <c r="R56" s="276">
        <f t="shared" si="21"/>
        <v>6013287.348286823</v>
      </c>
    </row>
    <row r="58" ht="15">
      <c r="E58" s="244">
        <f>6013287+442683</f>
        <v>6455970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K159"/>
  <sheetViews>
    <sheetView showGridLines="0" showOutlineSymbols="0" zoomScale="75" zoomScaleNormal="75" workbookViewId="0" topLeftCell="A1">
      <selection activeCell="A2" sqref="A2"/>
    </sheetView>
  </sheetViews>
  <sheetFormatPr defaultColWidth="9.6640625" defaultRowHeight="15"/>
  <cols>
    <col min="1" max="1" width="5.6640625" style="167" customWidth="1"/>
    <col min="2" max="2" width="5.21484375" style="167" customWidth="1"/>
    <col min="3" max="3" width="29.21484375" style="167" customWidth="1"/>
    <col min="4" max="4" width="1.66796875" style="167" customWidth="1"/>
    <col min="5" max="5" width="25.77734375" style="167" customWidth="1"/>
    <col min="6" max="6" width="7.5546875" style="167" customWidth="1"/>
    <col min="7" max="7" width="7.3359375" style="167" customWidth="1"/>
    <col min="8" max="8" width="6.10546875" style="167" customWidth="1"/>
    <col min="9" max="9" width="3.6640625" style="167" customWidth="1"/>
    <col min="10" max="10" width="9.3359375" style="167" customWidth="1"/>
    <col min="11" max="11" width="3.6640625" style="167" customWidth="1"/>
    <col min="12" max="12" width="10.21484375" style="167" customWidth="1"/>
    <col min="13" max="13" width="3.6640625" style="167" customWidth="1"/>
    <col min="14" max="14" width="9.6640625" style="167" customWidth="1"/>
    <col min="15" max="15" width="6.6640625" style="167" customWidth="1"/>
    <col min="16" max="16" width="3.6640625" style="167" customWidth="1"/>
    <col min="17" max="17" width="12.6640625" style="167" customWidth="1"/>
    <col min="18" max="18" width="3.6640625" style="167" customWidth="1"/>
    <col min="19" max="19" width="13.21484375" style="167" customWidth="1"/>
    <col min="20" max="20" width="3.6640625" style="167" customWidth="1"/>
    <col min="21" max="21" width="9.88671875" style="167" customWidth="1"/>
    <col min="22" max="22" width="18.3359375" style="167" customWidth="1"/>
    <col min="23" max="23" width="15.5546875" style="167" customWidth="1"/>
    <col min="24" max="24" width="12.88671875" style="167" bestFit="1" customWidth="1"/>
    <col min="25" max="26" width="9.6640625" style="167" customWidth="1"/>
    <col min="27" max="27" width="1.66796875" style="167" customWidth="1"/>
    <col min="28" max="28" width="9.6640625" style="167" customWidth="1"/>
    <col min="29" max="29" width="1.66796875" style="167" customWidth="1"/>
    <col min="30" max="30" width="9.6640625" style="167" customWidth="1"/>
    <col min="31" max="31" width="1.66796875" style="167" customWidth="1"/>
    <col min="32" max="32" width="9.6640625" style="167" customWidth="1"/>
    <col min="33" max="33" width="1.66796875" style="167" customWidth="1"/>
    <col min="34" max="34" width="9.6640625" style="167" customWidth="1"/>
    <col min="35" max="35" width="1.66796875" style="167" customWidth="1"/>
    <col min="36" max="36" width="9.6640625" style="167" customWidth="1"/>
    <col min="37" max="37" width="1.66796875" style="167" customWidth="1"/>
    <col min="38" max="38" width="9.6640625" style="167" customWidth="1"/>
    <col min="39" max="39" width="1.66796875" style="167" customWidth="1"/>
    <col min="40" max="40" width="9.6640625" style="167" customWidth="1"/>
    <col min="41" max="41" width="1.66796875" style="167" customWidth="1"/>
    <col min="42" max="42" width="9.6640625" style="167" customWidth="1"/>
    <col min="43" max="43" width="1.66796875" style="167" customWidth="1"/>
    <col min="44" max="44" width="9.6640625" style="167" customWidth="1"/>
    <col min="45" max="45" width="1.66796875" style="167" customWidth="1"/>
    <col min="46" max="46" width="9.6640625" style="167" customWidth="1"/>
    <col min="47" max="47" width="1.66796875" style="167" customWidth="1"/>
    <col min="48" max="48" width="9.6640625" style="167" customWidth="1"/>
    <col min="49" max="49" width="1.66796875" style="167" customWidth="1"/>
    <col min="50" max="50" width="9.6640625" style="167" customWidth="1"/>
    <col min="51" max="51" width="1.66796875" style="167" customWidth="1"/>
    <col min="52" max="16384" width="9.6640625" style="167" customWidth="1"/>
  </cols>
  <sheetData>
    <row r="1" s="387" customFormat="1" ht="16.5">
      <c r="A1" s="387" t="s">
        <v>581</v>
      </c>
    </row>
    <row r="2" s="387" customFormat="1" ht="16.5">
      <c r="A2" s="387" t="s">
        <v>571</v>
      </c>
    </row>
    <row r="3" s="387" customFormat="1" ht="16.5"/>
    <row r="4" spans="1:22" ht="16.5">
      <c r="A4" s="167" t="s">
        <v>309</v>
      </c>
      <c r="B4" s="373"/>
      <c r="C4" s="373"/>
      <c r="D4" s="373"/>
      <c r="E4" s="373"/>
      <c r="F4" s="373"/>
      <c r="G4" s="373"/>
      <c r="H4" s="373"/>
      <c r="I4" s="366" t="s">
        <v>310</v>
      </c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</row>
    <row r="5" spans="1:89" ht="17.25" thickBot="1">
      <c r="A5" s="330" t="str">
        <f>+'A-1'!A5</f>
        <v>2019 Okeechobee Limited Scope Adjustment</v>
      </c>
      <c r="B5" s="368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8"/>
      <c r="N5" s="368"/>
      <c r="O5" s="368"/>
      <c r="P5" s="368"/>
      <c r="Q5" s="368"/>
      <c r="R5" s="368"/>
      <c r="S5" s="368"/>
      <c r="T5" s="369"/>
      <c r="U5" s="369"/>
      <c r="V5" s="393" t="s">
        <v>311</v>
      </c>
      <c r="W5" s="372"/>
      <c r="CD5" s="386"/>
      <c r="CE5" s="386"/>
      <c r="CF5" s="386"/>
      <c r="CG5" s="386"/>
      <c r="CH5" s="386"/>
      <c r="CI5" s="386"/>
      <c r="CJ5" s="386"/>
      <c r="CK5" s="386"/>
    </row>
    <row r="6" spans="1:23" ht="16.5">
      <c r="A6" s="371"/>
      <c r="B6" s="372"/>
      <c r="C6" s="371"/>
      <c r="D6" s="371"/>
      <c r="E6" s="371"/>
      <c r="F6" s="371"/>
      <c r="G6" s="371"/>
      <c r="H6" s="372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2"/>
    </row>
    <row r="7" spans="1:86" ht="16.5">
      <c r="A7" s="167" t="s">
        <v>2</v>
      </c>
      <c r="G7" s="167" t="s">
        <v>3</v>
      </c>
      <c r="I7" s="167" t="s">
        <v>370</v>
      </c>
      <c r="T7" s="167" t="s">
        <v>5</v>
      </c>
      <c r="W7" s="372"/>
      <c r="CD7" s="386"/>
      <c r="CF7" s="386"/>
      <c r="CH7" s="386"/>
    </row>
    <row r="8" spans="1:23" ht="16.5">
      <c r="A8" s="373"/>
      <c r="I8" s="167" t="s">
        <v>548</v>
      </c>
      <c r="W8" s="372"/>
    </row>
    <row r="9" spans="1:23" ht="16.5">
      <c r="A9" s="167" t="s">
        <v>312</v>
      </c>
      <c r="C9" s="394" t="s">
        <v>347</v>
      </c>
      <c r="T9" s="166" t="s">
        <v>444</v>
      </c>
      <c r="W9" s="372"/>
    </row>
    <row r="10" spans="1:23" ht="16.5">
      <c r="A10" s="373"/>
      <c r="C10" s="137" t="s">
        <v>348</v>
      </c>
      <c r="E10" s="614"/>
      <c r="F10" s="614"/>
      <c r="G10" s="614"/>
      <c r="L10" s="488" t="s">
        <v>63</v>
      </c>
      <c r="W10" s="372"/>
    </row>
    <row r="11" spans="1:23" ht="16.5">
      <c r="A11" s="373"/>
      <c r="T11" s="61" t="s">
        <v>214</v>
      </c>
      <c r="W11" s="372"/>
    </row>
    <row r="12" spans="1:23" ht="16.5">
      <c r="A12" s="167" t="str">
        <f>+'A-1'!A12</f>
        <v>DOCKET NO.: 160021-EI</v>
      </c>
      <c r="T12" s="367"/>
      <c r="W12" s="372"/>
    </row>
    <row r="13" spans="5:13" s="149" customFormat="1" ht="17.25" thickBot="1"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22" s="149" customFormat="1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375" t="s">
        <v>313</v>
      </c>
      <c r="M14" s="155"/>
      <c r="N14" s="155"/>
      <c r="O14" s="155"/>
      <c r="P14" s="155"/>
      <c r="Q14" s="155"/>
      <c r="R14" s="155"/>
      <c r="S14" s="375" t="s">
        <v>314</v>
      </c>
      <c r="T14" s="155"/>
      <c r="U14" s="155"/>
      <c r="V14" s="155"/>
    </row>
    <row r="15" spans="1:2" ht="16.5">
      <c r="A15" s="376" t="s">
        <v>315</v>
      </c>
      <c r="B15" s="376"/>
    </row>
    <row r="16" spans="1:22" ht="17.25" thickBot="1">
      <c r="A16" s="377" t="s">
        <v>316</v>
      </c>
      <c r="B16" s="377"/>
      <c r="C16" s="368" t="s">
        <v>261</v>
      </c>
      <c r="D16" s="368"/>
      <c r="E16" s="368"/>
      <c r="F16" s="368"/>
      <c r="G16" s="368"/>
      <c r="H16" s="368"/>
      <c r="I16" s="368"/>
      <c r="J16" s="377" t="s">
        <v>317</v>
      </c>
      <c r="K16" s="368"/>
      <c r="L16" s="377" t="s">
        <v>318</v>
      </c>
      <c r="M16" s="368"/>
      <c r="N16" s="377" t="s">
        <v>47</v>
      </c>
      <c r="O16" s="377"/>
      <c r="P16" s="377"/>
      <c r="Q16" s="377" t="s">
        <v>317</v>
      </c>
      <c r="R16" s="368"/>
      <c r="S16" s="377" t="s">
        <v>318</v>
      </c>
      <c r="T16" s="368"/>
      <c r="U16" s="377" t="s">
        <v>47</v>
      </c>
      <c r="V16" s="368"/>
    </row>
    <row r="17" spans="1:21" ht="16.5">
      <c r="A17" s="448"/>
      <c r="C17" s="372"/>
      <c r="D17" s="371"/>
      <c r="E17" s="371"/>
      <c r="F17" s="371"/>
      <c r="J17" s="395"/>
      <c r="K17" s="371"/>
      <c r="L17" s="395"/>
      <c r="M17" s="371"/>
      <c r="N17" s="371"/>
      <c r="Q17" s="371"/>
      <c r="R17" s="371"/>
      <c r="S17" s="371"/>
      <c r="T17" s="371"/>
      <c r="U17" s="371"/>
    </row>
    <row r="18" spans="1:12" ht="16.5">
      <c r="A18" s="376">
        <v>1</v>
      </c>
      <c r="B18" s="376"/>
      <c r="C18" s="167" t="s">
        <v>319</v>
      </c>
      <c r="I18" s="167" t="s">
        <v>320</v>
      </c>
      <c r="J18" s="592">
        <f>'C-4'!U91-J19</f>
        <v>-35485.54204676742</v>
      </c>
      <c r="K18" s="167" t="s">
        <v>320</v>
      </c>
      <c r="L18" s="396">
        <f>J18</f>
        <v>-35485.54204676742</v>
      </c>
    </row>
    <row r="19" spans="1:12" ht="16.5">
      <c r="A19" s="376">
        <v>2</v>
      </c>
      <c r="B19" s="376"/>
      <c r="C19" s="167" t="s">
        <v>321</v>
      </c>
      <c r="J19" s="562">
        <v>-33792.134968016566</v>
      </c>
      <c r="K19" s="397"/>
      <c r="L19" s="544">
        <f>J19</f>
        <v>-33792.134968016566</v>
      </c>
    </row>
    <row r="20" spans="1:12" ht="16.5">
      <c r="A20" s="376">
        <v>3</v>
      </c>
      <c r="B20" s="376"/>
      <c r="C20" s="167" t="s">
        <v>388</v>
      </c>
      <c r="J20" s="401">
        <f>'C-23'!M22</f>
        <v>21605.067115426624</v>
      </c>
      <c r="K20" s="390"/>
      <c r="L20" s="398">
        <f>J20</f>
        <v>21605.067115426624</v>
      </c>
    </row>
    <row r="21" spans="1:21" ht="16.5">
      <c r="A21" s="376">
        <v>4</v>
      </c>
      <c r="B21" s="376"/>
      <c r="J21" s="399"/>
      <c r="L21" s="400"/>
      <c r="T21" s="376"/>
      <c r="U21" s="376"/>
    </row>
    <row r="22" spans="1:12" ht="16.5">
      <c r="A22" s="376">
        <v>5</v>
      </c>
      <c r="B22" s="376"/>
      <c r="C22" s="167" t="s">
        <v>322</v>
      </c>
      <c r="I22" s="167" t="s">
        <v>320</v>
      </c>
      <c r="J22" s="390">
        <f>J18+J19-J20</f>
        <v>-90882.7441302106</v>
      </c>
      <c r="K22" s="167" t="s">
        <v>320</v>
      </c>
      <c r="L22" s="390">
        <f>L18+L19-L20</f>
        <v>-90882.7441302106</v>
      </c>
    </row>
    <row r="23" spans="1:25" ht="16.5">
      <c r="A23" s="376">
        <v>6</v>
      </c>
      <c r="B23" s="376"/>
      <c r="J23" s="379"/>
      <c r="L23" s="379"/>
      <c r="T23" s="386"/>
      <c r="U23" s="386"/>
      <c r="X23" s="390"/>
      <c r="Y23" s="390"/>
    </row>
    <row r="24" spans="1:25" ht="16.5">
      <c r="A24" s="376">
        <v>7</v>
      </c>
      <c r="B24" s="376"/>
      <c r="C24" s="167" t="s">
        <v>323</v>
      </c>
      <c r="X24" s="390"/>
      <c r="Y24" s="390"/>
    </row>
    <row r="25" spans="1:25" ht="16.5">
      <c r="A25" s="376">
        <v>8</v>
      </c>
      <c r="B25" s="376"/>
      <c r="C25" s="167" t="s">
        <v>396</v>
      </c>
      <c r="J25" s="401">
        <f>42268938/1000</f>
        <v>42268.938</v>
      </c>
      <c r="K25" s="390"/>
      <c r="L25" s="390">
        <f>J25</f>
        <v>42268.938</v>
      </c>
      <c r="P25" s="167" t="s">
        <v>320</v>
      </c>
      <c r="Q25" s="390">
        <f aca="true" t="shared" si="0" ref="Q25:Q30">J25*-0.055</f>
        <v>-2324.7915900000003</v>
      </c>
      <c r="R25" s="167" t="s">
        <v>320</v>
      </c>
      <c r="S25" s="390">
        <f>L25*-0.33075</f>
        <v>-13980.4512435</v>
      </c>
      <c r="X25" s="390"/>
      <c r="Y25" s="390"/>
    </row>
    <row r="26" spans="1:25" ht="16.5">
      <c r="A26" s="376">
        <v>9</v>
      </c>
      <c r="B26" s="376"/>
      <c r="C26" s="167" t="s">
        <v>397</v>
      </c>
      <c r="J26" s="401">
        <f>-3282703/1000</f>
        <v>-3282.703</v>
      </c>
      <c r="K26" s="390"/>
      <c r="L26" s="390">
        <f>J26</f>
        <v>-3282.703</v>
      </c>
      <c r="Q26" s="390">
        <f t="shared" si="0"/>
        <v>180.548665</v>
      </c>
      <c r="R26" s="390"/>
      <c r="S26" s="390">
        <f>L26*-0.33075</f>
        <v>1085.75401725</v>
      </c>
      <c r="X26" s="390"/>
      <c r="Y26" s="390"/>
    </row>
    <row r="27" spans="1:25" ht="16.5">
      <c r="A27" s="376">
        <v>10</v>
      </c>
      <c r="B27" s="376"/>
      <c r="C27" s="167" t="s">
        <v>324</v>
      </c>
      <c r="J27" s="402">
        <f>-417482171/1000</f>
        <v>-417482.171</v>
      </c>
      <c r="K27" s="390"/>
      <c r="L27" s="403">
        <f>J27</f>
        <v>-417482.171</v>
      </c>
      <c r="Q27" s="403">
        <f t="shared" si="0"/>
        <v>22961.519405</v>
      </c>
      <c r="R27" s="390"/>
      <c r="S27" s="403">
        <f>L27*-0.33075</f>
        <v>138082.22805824998</v>
      </c>
      <c r="X27" s="390"/>
      <c r="Y27" s="390"/>
    </row>
    <row r="28" spans="1:25" ht="16.5">
      <c r="A28" s="376">
        <v>11</v>
      </c>
      <c r="B28" s="376"/>
      <c r="J28" s="401">
        <f>SUM(J25:J27)</f>
        <v>-378495.936</v>
      </c>
      <c r="K28" s="390"/>
      <c r="L28" s="390">
        <f>SUM(L25:L27)</f>
        <v>-378495.936</v>
      </c>
      <c r="Q28" s="390">
        <f t="shared" si="0"/>
        <v>20817.27648</v>
      </c>
      <c r="R28" s="390"/>
      <c r="S28" s="390">
        <f>L28*-0.33075</f>
        <v>125187.53083199999</v>
      </c>
      <c r="X28" s="390"/>
      <c r="Y28" s="390"/>
    </row>
    <row r="29" spans="1:25" ht="16.5">
      <c r="A29" s="376">
        <v>12</v>
      </c>
      <c r="B29" s="376"/>
      <c r="C29" s="167" t="s">
        <v>398</v>
      </c>
      <c r="J29" s="401">
        <f>1000259/1000</f>
        <v>1000.259</v>
      </c>
      <c r="K29" s="390"/>
      <c r="L29" s="390">
        <f>J29</f>
        <v>1000.259</v>
      </c>
      <c r="Q29" s="390">
        <f t="shared" si="0"/>
        <v>-55.014245</v>
      </c>
      <c r="R29" s="390"/>
      <c r="S29" s="390">
        <f>L29*-0.33075</f>
        <v>-330.83566425</v>
      </c>
      <c r="X29" s="390"/>
      <c r="Y29" s="390"/>
    </row>
    <row r="30" spans="1:25" ht="16.5">
      <c r="A30" s="376">
        <v>13</v>
      </c>
      <c r="B30" s="376"/>
      <c r="C30" s="167" t="s">
        <v>399</v>
      </c>
      <c r="J30" s="404">
        <f>286846719/1000</f>
        <v>286846.719</v>
      </c>
      <c r="L30" s="397">
        <v>0</v>
      </c>
      <c r="Q30" s="390">
        <f t="shared" si="0"/>
        <v>-15776.569544999998</v>
      </c>
      <c r="R30" s="390"/>
      <c r="S30" s="390">
        <f>Q30*-0.35</f>
        <v>5521.799340749999</v>
      </c>
      <c r="X30" s="390"/>
      <c r="Y30" s="390"/>
    </row>
    <row r="31" spans="1:25" ht="16.5">
      <c r="A31" s="376">
        <v>14</v>
      </c>
      <c r="B31" s="376"/>
      <c r="J31" s="405"/>
      <c r="Q31" s="390"/>
      <c r="R31" s="390"/>
      <c r="S31" s="390"/>
      <c r="X31" s="390"/>
      <c r="Y31" s="390"/>
    </row>
    <row r="32" spans="1:25" ht="16.5">
      <c r="A32" s="376">
        <v>15</v>
      </c>
      <c r="B32" s="376"/>
      <c r="C32" s="167" t="s">
        <v>325</v>
      </c>
      <c r="I32" s="167" t="s">
        <v>320</v>
      </c>
      <c r="J32" s="401">
        <f>SUM(J28:J31)</f>
        <v>-90648.95799999998</v>
      </c>
      <c r="K32" s="167" t="s">
        <v>320</v>
      </c>
      <c r="L32" s="390">
        <f>SUM(L28:L31)</f>
        <v>-377495.67699999997</v>
      </c>
      <c r="P32" s="167" t="s">
        <v>320</v>
      </c>
      <c r="Q32" s="390">
        <f>SUM(Q28:Q31)</f>
        <v>4985.6926900000035</v>
      </c>
      <c r="R32" s="167" t="s">
        <v>320</v>
      </c>
      <c r="S32" s="390">
        <f>SUM(S28:S31)</f>
        <v>130378.49450849999</v>
      </c>
      <c r="X32" s="390"/>
      <c r="Y32" s="390"/>
    </row>
    <row r="33" spans="1:25" ht="16.5">
      <c r="A33" s="376">
        <v>16</v>
      </c>
      <c r="B33" s="376"/>
      <c r="J33" s="406"/>
      <c r="L33" s="379"/>
      <c r="Q33" s="379"/>
      <c r="S33" s="379"/>
      <c r="X33" s="390"/>
      <c r="Y33" s="390"/>
    </row>
    <row r="34" spans="1:25" ht="16.5">
      <c r="A34" s="376">
        <v>17</v>
      </c>
      <c r="B34" s="376"/>
      <c r="C34" s="167" t="s">
        <v>326</v>
      </c>
      <c r="J34" s="405"/>
      <c r="X34" s="390"/>
      <c r="Y34" s="390"/>
    </row>
    <row r="35" spans="1:25" ht="16.5">
      <c r="A35" s="376">
        <v>18</v>
      </c>
      <c r="B35" s="376"/>
      <c r="C35" s="167" t="s">
        <v>400</v>
      </c>
      <c r="J35" s="401">
        <f>-J26</f>
        <v>3282.703</v>
      </c>
      <c r="K35" s="390"/>
      <c r="L35" s="390">
        <f>J35</f>
        <v>3282.703</v>
      </c>
      <c r="M35" s="407"/>
      <c r="X35" s="390"/>
      <c r="Y35" s="390"/>
    </row>
    <row r="36" spans="1:25" ht="16.5">
      <c r="A36" s="376">
        <v>19</v>
      </c>
      <c r="B36" s="376"/>
      <c r="J36" s="405"/>
      <c r="X36" s="390"/>
      <c r="Y36" s="390"/>
    </row>
    <row r="37" spans="1:25" ht="16.5">
      <c r="A37" s="376">
        <v>20</v>
      </c>
      <c r="B37" s="376"/>
      <c r="X37" s="390"/>
      <c r="Y37" s="390"/>
    </row>
    <row r="38" spans="1:13" ht="16.5">
      <c r="A38" s="376">
        <v>21</v>
      </c>
      <c r="B38" s="376"/>
      <c r="C38" s="167" t="s">
        <v>327</v>
      </c>
      <c r="I38" s="167" t="s">
        <v>320</v>
      </c>
      <c r="J38" s="390">
        <f>SUM(J35:J37)</f>
        <v>3282.703</v>
      </c>
      <c r="K38" s="167" t="s">
        <v>320</v>
      </c>
      <c r="L38" s="390">
        <f>SUM(L35:L37)</f>
        <v>3282.703</v>
      </c>
      <c r="M38" s="408"/>
    </row>
    <row r="39" spans="1:24" ht="16.5">
      <c r="A39" s="376">
        <v>22</v>
      </c>
      <c r="B39" s="376"/>
      <c r="J39" s="380"/>
      <c r="L39" s="379"/>
      <c r="X39" s="390"/>
    </row>
    <row r="40" spans="1:24" ht="16.5">
      <c r="A40" s="376">
        <v>23</v>
      </c>
      <c r="B40" s="376"/>
      <c r="C40" s="167" t="s">
        <v>401</v>
      </c>
      <c r="I40" s="167" t="s">
        <v>320</v>
      </c>
      <c r="J40" s="390">
        <f>J22+J32+J38</f>
        <v>-178248.99913021058</v>
      </c>
      <c r="P40" s="167" t="s">
        <v>320</v>
      </c>
      <c r="Q40" s="400" t="s">
        <v>79</v>
      </c>
      <c r="X40" s="390"/>
    </row>
    <row r="41" spans="1:24" ht="16.5">
      <c r="A41" s="376">
        <v>24</v>
      </c>
      <c r="B41" s="376"/>
      <c r="C41" s="167" t="s">
        <v>402</v>
      </c>
      <c r="I41" s="167" t="s">
        <v>320</v>
      </c>
      <c r="J41" s="409">
        <f>J40*0.055</f>
        <v>-9803.694952161582</v>
      </c>
      <c r="P41" s="167" t="s">
        <v>320</v>
      </c>
      <c r="Q41" s="390">
        <f>SUM(Q32:Q40)</f>
        <v>4985.6926900000035</v>
      </c>
      <c r="X41" s="390"/>
    </row>
    <row r="42" spans="1:17" ht="16.5">
      <c r="A42" s="376">
        <v>25</v>
      </c>
      <c r="B42" s="376"/>
      <c r="C42" s="167" t="s">
        <v>328</v>
      </c>
      <c r="J42" s="410"/>
      <c r="Q42" s="379"/>
    </row>
    <row r="43" spans="1:10" ht="16.5">
      <c r="A43" s="376">
        <v>26</v>
      </c>
      <c r="B43" s="376"/>
      <c r="J43" s="411"/>
    </row>
    <row r="44" spans="1:24" ht="16.5">
      <c r="A44" s="376">
        <v>27</v>
      </c>
      <c r="B44" s="376"/>
      <c r="J44" s="411"/>
      <c r="X44" s="390"/>
    </row>
    <row r="45" spans="1:10" ht="16.5">
      <c r="A45" s="376">
        <v>28</v>
      </c>
      <c r="B45" s="376"/>
      <c r="C45" s="167" t="s">
        <v>329</v>
      </c>
      <c r="I45" s="167" t="s">
        <v>320</v>
      </c>
      <c r="J45" s="412">
        <v>0</v>
      </c>
    </row>
    <row r="46" spans="1:10" ht="16.5">
      <c r="A46" s="376">
        <v>29</v>
      </c>
      <c r="B46" s="376"/>
      <c r="J46" s="411"/>
    </row>
    <row r="47" spans="1:17" ht="16.5">
      <c r="A47" s="376">
        <v>30</v>
      </c>
      <c r="B47" s="376"/>
      <c r="C47" s="167" t="s">
        <v>330</v>
      </c>
      <c r="I47" s="167" t="s">
        <v>320</v>
      </c>
      <c r="J47" s="390">
        <f>SUM(J41:J45)</f>
        <v>-9803.694952161582</v>
      </c>
      <c r="K47" s="408" t="s">
        <v>320</v>
      </c>
      <c r="L47" s="403">
        <f>-J47</f>
        <v>9803.694952161582</v>
      </c>
      <c r="P47" s="167" t="s">
        <v>320</v>
      </c>
      <c r="Q47" s="390">
        <f>SUM(Q41:Q46)</f>
        <v>4985.6926900000035</v>
      </c>
    </row>
    <row r="48" spans="1:24" ht="16.5">
      <c r="A48" s="376">
        <v>31</v>
      </c>
      <c r="B48" s="376"/>
      <c r="J48" s="410"/>
      <c r="Q48" s="413"/>
      <c r="X48" s="390"/>
    </row>
    <row r="49" spans="1:24" ht="16.5">
      <c r="A49" s="376">
        <v>32</v>
      </c>
      <c r="B49" s="376"/>
      <c r="C49" s="167" t="s">
        <v>403</v>
      </c>
      <c r="J49" s="396"/>
      <c r="K49" s="408" t="s">
        <v>320</v>
      </c>
      <c r="L49" s="403">
        <f>L22+L32+L38+L47</f>
        <v>-455292.023178049</v>
      </c>
      <c r="Q49" s="414"/>
      <c r="X49" s="390"/>
    </row>
    <row r="50" spans="1:17" ht="16.5">
      <c r="A50" s="376">
        <v>33</v>
      </c>
      <c r="B50" s="376"/>
      <c r="J50" s="396"/>
      <c r="K50" s="408"/>
      <c r="L50" s="396"/>
      <c r="Q50" s="414"/>
    </row>
    <row r="51" spans="1:22" ht="16.5">
      <c r="A51" s="376">
        <v>34</v>
      </c>
      <c r="B51" s="376"/>
      <c r="I51" s="396"/>
      <c r="J51" s="415"/>
      <c r="K51" s="396"/>
      <c r="L51" s="372"/>
      <c r="M51" s="372"/>
      <c r="N51" s="372"/>
      <c r="O51" s="372"/>
      <c r="P51" s="414"/>
      <c r="Q51" s="372"/>
      <c r="R51" s="372"/>
      <c r="S51" s="372"/>
      <c r="T51" s="372"/>
      <c r="U51" s="372"/>
      <c r="V51" s="372"/>
    </row>
    <row r="52" spans="1:22" ht="16.5">
      <c r="A52" s="376">
        <v>35</v>
      </c>
      <c r="I52" s="372"/>
      <c r="J52" s="416"/>
      <c r="K52" s="372"/>
      <c r="L52" s="371"/>
      <c r="M52" s="372"/>
      <c r="N52" s="372"/>
      <c r="O52" s="372"/>
      <c r="P52" s="372"/>
      <c r="Q52" s="372"/>
      <c r="R52" s="372"/>
      <c r="S52" s="372"/>
      <c r="T52" s="372"/>
      <c r="U52" s="372"/>
      <c r="V52" s="372"/>
    </row>
    <row r="53" spans="1:24" ht="16.5">
      <c r="A53" s="376">
        <v>36</v>
      </c>
      <c r="B53" s="376"/>
      <c r="I53" s="417"/>
      <c r="K53" s="372"/>
      <c r="L53" s="372"/>
      <c r="M53" s="372"/>
      <c r="N53" s="372"/>
      <c r="O53" s="372"/>
      <c r="P53" s="372"/>
      <c r="Q53" s="372" t="s">
        <v>79</v>
      </c>
      <c r="R53" s="372"/>
      <c r="S53" s="372"/>
      <c r="T53" s="372"/>
      <c r="U53" s="372"/>
      <c r="V53" s="372"/>
      <c r="X53" s="390"/>
    </row>
    <row r="54" spans="1:22" ht="16.5">
      <c r="A54" s="376">
        <v>37</v>
      </c>
      <c r="B54" s="376"/>
      <c r="I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</row>
    <row r="55" spans="1:24" ht="16.5">
      <c r="A55" s="376">
        <v>38</v>
      </c>
      <c r="B55" s="376"/>
      <c r="I55" s="372"/>
      <c r="K55" s="372"/>
      <c r="L55" s="372"/>
      <c r="M55" s="372"/>
      <c r="N55" s="372"/>
      <c r="O55" s="372"/>
      <c r="P55" s="372"/>
      <c r="Q55" s="371"/>
      <c r="R55" s="372"/>
      <c r="S55" s="372"/>
      <c r="T55" s="372"/>
      <c r="U55" s="372"/>
      <c r="V55" s="372"/>
      <c r="X55" s="396"/>
    </row>
    <row r="56" spans="1:24" ht="16.5">
      <c r="A56" s="376">
        <v>39</v>
      </c>
      <c r="B56" s="376"/>
      <c r="I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X56" s="396"/>
    </row>
    <row r="57" spans="1:24" ht="16.5">
      <c r="A57" s="376">
        <v>40</v>
      </c>
      <c r="B57" s="376"/>
      <c r="I57" s="372"/>
      <c r="J57" s="395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X57" s="418"/>
    </row>
    <row r="58" spans="1:24" ht="16.5">
      <c r="A58" s="376">
        <v>41</v>
      </c>
      <c r="B58" s="376"/>
      <c r="I58" s="372"/>
      <c r="J58" s="395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X58" s="418"/>
    </row>
    <row r="59" spans="1:22" ht="16.5">
      <c r="A59" s="376">
        <v>42</v>
      </c>
      <c r="B59" s="376"/>
      <c r="I59" s="372"/>
      <c r="J59" s="395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</row>
    <row r="60" spans="1:22" ht="16.5">
      <c r="A60" s="376">
        <v>43</v>
      </c>
      <c r="B60" s="376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</row>
    <row r="61" spans="1:22" ht="16.5">
      <c r="A61" s="376">
        <v>44</v>
      </c>
      <c r="B61" s="376"/>
      <c r="I61" s="372"/>
      <c r="J61" s="395"/>
      <c r="K61" s="372"/>
      <c r="L61" s="372"/>
      <c r="M61" s="372"/>
      <c r="N61" s="372"/>
      <c r="O61" s="372"/>
      <c r="P61" s="372"/>
      <c r="Q61" s="395"/>
      <c r="R61" s="372"/>
      <c r="S61" s="372"/>
      <c r="T61" s="372"/>
      <c r="U61" s="372"/>
      <c r="V61" s="372"/>
    </row>
    <row r="62" spans="1:22" ht="16.5">
      <c r="A62" s="376">
        <v>45</v>
      </c>
      <c r="B62" s="376"/>
      <c r="C62" s="167" t="s">
        <v>404</v>
      </c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</row>
    <row r="63" spans="1:23" ht="409.5">
      <c r="A63" s="376"/>
      <c r="B63" s="376"/>
      <c r="C63" s="386"/>
      <c r="D63" s="386"/>
      <c r="E63" s="386"/>
      <c r="F63" s="386"/>
      <c r="G63" s="386"/>
      <c r="H63" s="386"/>
      <c r="I63" s="386"/>
      <c r="J63" s="395"/>
      <c r="K63" s="386"/>
      <c r="L63" s="386"/>
      <c r="M63" s="386"/>
      <c r="Q63" s="372"/>
      <c r="W63" s="400"/>
    </row>
    <row r="64" spans="1:22" ht="409.5">
      <c r="A64" s="392" t="s">
        <v>331</v>
      </c>
      <c r="B64" s="392"/>
      <c r="C64" s="379"/>
      <c r="D64" s="379"/>
      <c r="E64" s="379"/>
      <c r="F64" s="379" t="s">
        <v>332</v>
      </c>
      <c r="G64" s="379"/>
      <c r="H64" s="379"/>
      <c r="I64" s="379"/>
      <c r="J64" s="379"/>
      <c r="K64" s="379"/>
      <c r="L64" s="379"/>
      <c r="M64" s="392" t="s">
        <v>333</v>
      </c>
      <c r="N64" s="379"/>
      <c r="O64" s="379"/>
      <c r="P64" s="379"/>
      <c r="Q64" s="379" t="s">
        <v>92</v>
      </c>
      <c r="R64" s="379"/>
      <c r="S64" s="379"/>
      <c r="T64" s="379"/>
      <c r="U64" s="379"/>
      <c r="V64" s="379"/>
    </row>
    <row r="65" spans="1:22" ht="16.5">
      <c r="A65" s="376"/>
      <c r="B65" s="376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</row>
    <row r="126" spans="1:22" ht="409.5">
      <c r="A126" s="373"/>
      <c r="B126" s="373"/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</row>
    <row r="149" ht="16.5">
      <c r="J149" s="419"/>
    </row>
    <row r="150" ht="16.5">
      <c r="J150" s="385"/>
    </row>
    <row r="151" ht="16.5">
      <c r="J151" s="385"/>
    </row>
    <row r="152" ht="16.5">
      <c r="J152" s="385"/>
    </row>
    <row r="153" ht="16.5">
      <c r="J153" s="385"/>
    </row>
    <row r="154" ht="16.5">
      <c r="J154" s="385"/>
    </row>
    <row r="155" ht="409.5">
      <c r="J155" s="385"/>
    </row>
    <row r="156" ht="16.5">
      <c r="J156" s="385"/>
    </row>
    <row r="157" ht="409.5">
      <c r="J157" s="385"/>
    </row>
    <row r="159" ht="16.5">
      <c r="J159" s="419"/>
    </row>
  </sheetData>
  <sheetProtection/>
  <mergeCells count="1">
    <mergeCell ref="E10:G10"/>
  </mergeCells>
  <printOptions/>
  <pageMargins left="0.41" right="0.3" top="0.75" bottom="0.27" header="0.17" footer="0"/>
  <pageSetup horizontalDpi="600" verticalDpi="600" orientation="landscape" scale="53" r:id="rId1"/>
  <rowBreaks count="1" manualBreakCount="1">
    <brk id="65" max="2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66"/>
  <sheetViews>
    <sheetView showGridLines="0" zoomScale="75" zoomScaleNormal="75" zoomScalePageLayoutView="0" workbookViewId="0" topLeftCell="A1">
      <selection activeCell="A2" sqref="A2"/>
    </sheetView>
  </sheetViews>
  <sheetFormatPr defaultColWidth="8.88671875" defaultRowHeight="15"/>
  <cols>
    <col min="1" max="1" width="8.88671875" style="367" customWidth="1"/>
    <col min="2" max="2" width="6.4453125" style="367" customWidth="1"/>
    <col min="3" max="3" width="29.77734375" style="367" customWidth="1"/>
    <col min="4" max="4" width="2.4453125" style="367" customWidth="1"/>
    <col min="5" max="5" width="3.3359375" style="367" customWidth="1"/>
    <col min="6" max="6" width="9.88671875" style="367" bestFit="1" customWidth="1"/>
    <col min="7" max="7" width="8.88671875" style="367" customWidth="1"/>
    <col min="8" max="8" width="9.21484375" style="367" bestFit="1" customWidth="1"/>
    <col min="9" max="10" width="8.88671875" style="367" customWidth="1"/>
    <col min="11" max="11" width="14.21484375" style="367" bestFit="1" customWidth="1"/>
    <col min="12" max="12" width="18.10546875" style="367" customWidth="1"/>
    <col min="13" max="13" width="10.77734375" style="367" customWidth="1"/>
    <col min="14" max="15" width="8.88671875" style="367" customWidth="1"/>
    <col min="16" max="16" width="15.21484375" style="367" bestFit="1" customWidth="1"/>
    <col min="17" max="18" width="8.88671875" style="367" customWidth="1"/>
    <col min="19" max="19" width="16.10546875" style="367" customWidth="1"/>
    <col min="20" max="16384" width="8.88671875" style="367" customWidth="1"/>
  </cols>
  <sheetData>
    <row r="1" s="621" customFormat="1" ht="16.5">
      <c r="A1" s="621" t="s">
        <v>582</v>
      </c>
    </row>
    <row r="2" s="621" customFormat="1" ht="16.5">
      <c r="A2" s="621" t="s">
        <v>571</v>
      </c>
    </row>
    <row r="3" s="621" customFormat="1" ht="16.5"/>
    <row r="4" spans="1:19" ht="16.5">
      <c r="A4" s="167" t="s">
        <v>309</v>
      </c>
      <c r="B4" s="167"/>
      <c r="C4" s="167"/>
      <c r="D4" s="167"/>
      <c r="E4" s="167"/>
      <c r="F4" s="167"/>
      <c r="G4" s="167"/>
      <c r="H4" s="167"/>
      <c r="I4" s="366" t="s">
        <v>310</v>
      </c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 ht="17.25" thickBot="1">
      <c r="A5" s="330" t="str">
        <f>+'A-1'!A5</f>
        <v>2019 Okeechobee Limited Scope Adjustment</v>
      </c>
      <c r="B5" s="368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8"/>
      <c r="N5" s="368"/>
      <c r="O5" s="368"/>
      <c r="P5" s="368"/>
      <c r="Q5" s="369"/>
      <c r="R5" s="370"/>
      <c r="S5" s="369" t="s">
        <v>349</v>
      </c>
    </row>
    <row r="6" spans="1:19" ht="16.5">
      <c r="A6" s="371"/>
      <c r="B6" s="372"/>
      <c r="C6" s="371"/>
      <c r="D6" s="371"/>
      <c r="E6" s="371"/>
      <c r="F6" s="371"/>
      <c r="G6" s="371"/>
      <c r="H6" s="372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</row>
    <row r="7" spans="1:19" ht="16.5">
      <c r="A7" s="167" t="s">
        <v>2</v>
      </c>
      <c r="B7" s="167"/>
      <c r="C7" s="167"/>
      <c r="D7" s="167"/>
      <c r="E7" s="167"/>
      <c r="F7" s="167"/>
      <c r="G7" s="167" t="s">
        <v>3</v>
      </c>
      <c r="H7" s="167"/>
      <c r="I7" s="167" t="s">
        <v>370</v>
      </c>
      <c r="J7" s="167"/>
      <c r="K7" s="167"/>
      <c r="L7" s="167"/>
      <c r="M7" s="167"/>
      <c r="N7" s="167"/>
      <c r="O7" s="167"/>
      <c r="P7" s="167"/>
      <c r="Q7" s="167" t="s">
        <v>5</v>
      </c>
      <c r="R7" s="167"/>
      <c r="S7" s="167"/>
    </row>
    <row r="8" spans="1:19" ht="16.5">
      <c r="A8" s="373"/>
      <c r="B8" s="167"/>
      <c r="C8" s="167"/>
      <c r="D8" s="167"/>
      <c r="E8" s="167"/>
      <c r="F8" s="167"/>
      <c r="G8" s="167"/>
      <c r="H8" s="167"/>
      <c r="I8" s="167" t="s">
        <v>548</v>
      </c>
      <c r="J8" s="167"/>
      <c r="K8" s="167"/>
      <c r="L8" s="167"/>
      <c r="M8" s="167"/>
      <c r="N8" s="167"/>
      <c r="O8" s="167"/>
      <c r="P8" s="167"/>
      <c r="Q8" s="167"/>
      <c r="R8" s="167"/>
      <c r="S8" s="167"/>
    </row>
    <row r="9" spans="1:19" ht="16.5">
      <c r="A9" s="167" t="s">
        <v>312</v>
      </c>
      <c r="B9" s="167"/>
      <c r="C9" s="374" t="s">
        <v>347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6" t="s">
        <v>444</v>
      </c>
      <c r="R9" s="167"/>
      <c r="S9" s="167"/>
    </row>
    <row r="10" spans="1:19" ht="16.5">
      <c r="A10" s="373"/>
      <c r="B10" s="167"/>
      <c r="C10" s="374" t="s">
        <v>348</v>
      </c>
      <c r="D10" s="614"/>
      <c r="E10" s="614"/>
      <c r="F10" s="614"/>
      <c r="G10" s="167"/>
      <c r="H10" s="167"/>
      <c r="I10" s="167"/>
      <c r="J10" s="167"/>
      <c r="K10" s="167"/>
      <c r="L10" s="488" t="s">
        <v>63</v>
      </c>
      <c r="M10" s="167"/>
      <c r="N10" s="167"/>
      <c r="O10" s="167"/>
      <c r="P10" s="167"/>
      <c r="Q10" s="167"/>
      <c r="R10" s="167"/>
      <c r="S10" s="167"/>
    </row>
    <row r="11" spans="1:19" ht="16.5">
      <c r="A11" s="373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61" t="s">
        <v>214</v>
      </c>
      <c r="R11" s="167"/>
      <c r="S11" s="167"/>
    </row>
    <row r="12" spans="1:19" ht="16.5">
      <c r="A12" s="167" t="str">
        <f>+'A-1'!A12</f>
        <v>DOCKET NO.: 160021-EI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R12" s="167"/>
      <c r="S12" s="167"/>
    </row>
    <row r="13" spans="1:19" ht="17.25" thickBot="1">
      <c r="A13" s="373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</row>
    <row r="14" spans="1:19" s="149" customFormat="1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375" t="s">
        <v>313</v>
      </c>
      <c r="M14" s="155"/>
      <c r="N14" s="155"/>
      <c r="O14" s="155"/>
      <c r="P14" s="375" t="s">
        <v>314</v>
      </c>
      <c r="Q14" s="155"/>
      <c r="R14" s="155"/>
      <c r="S14" s="155"/>
    </row>
    <row r="15" spans="1:2" s="167" customFormat="1" ht="16.5">
      <c r="A15" s="376" t="s">
        <v>315</v>
      </c>
      <c r="B15" s="376"/>
    </row>
    <row r="16" spans="1:19" s="167" customFormat="1" ht="17.25" thickBot="1">
      <c r="A16" s="377" t="s">
        <v>316</v>
      </c>
      <c r="B16" s="377"/>
      <c r="C16" s="368" t="s">
        <v>261</v>
      </c>
      <c r="D16" s="368"/>
      <c r="E16" s="368"/>
      <c r="F16" s="368"/>
      <c r="G16" s="368"/>
      <c r="H16" s="368"/>
      <c r="I16" s="368"/>
      <c r="J16" s="377" t="s">
        <v>317</v>
      </c>
      <c r="K16" s="368"/>
      <c r="L16" s="377" t="s">
        <v>318</v>
      </c>
      <c r="M16" s="368"/>
      <c r="N16" s="377" t="s">
        <v>47</v>
      </c>
      <c r="O16" s="368"/>
      <c r="P16" s="377" t="s">
        <v>318</v>
      </c>
      <c r="Q16" s="368"/>
      <c r="R16" s="377" t="s">
        <v>47</v>
      </c>
      <c r="S16" s="368"/>
    </row>
    <row r="17" spans="1:19" ht="16.5">
      <c r="A17" s="378"/>
      <c r="B17" s="378"/>
      <c r="C17" s="379"/>
      <c r="D17" s="379"/>
      <c r="E17" s="379"/>
      <c r="F17" s="379"/>
      <c r="G17" s="167"/>
      <c r="H17" s="167"/>
      <c r="I17" s="167"/>
      <c r="J17" s="380"/>
      <c r="K17" s="379"/>
      <c r="L17" s="379"/>
      <c r="M17" s="379"/>
      <c r="N17" s="379"/>
      <c r="O17" s="379"/>
      <c r="P17" s="379"/>
      <c r="Q17" s="379"/>
      <c r="R17" s="379"/>
      <c r="S17" s="167"/>
    </row>
    <row r="18" spans="1:19" ht="16.5">
      <c r="A18" s="376">
        <v>46</v>
      </c>
      <c r="B18" s="376"/>
      <c r="C18" s="167" t="s">
        <v>518</v>
      </c>
      <c r="D18" s="167"/>
      <c r="E18" s="167"/>
      <c r="F18" s="167"/>
      <c r="G18" s="167"/>
      <c r="H18" s="167"/>
      <c r="I18" s="167"/>
      <c r="J18" s="167"/>
      <c r="K18" s="167"/>
      <c r="L18" s="303">
        <f>'C-22, p 1'!L49</f>
        <v>-455292.023178049</v>
      </c>
      <c r="M18" s="167"/>
      <c r="N18" s="167"/>
      <c r="O18" s="167"/>
      <c r="P18" s="303">
        <f>'C-22, p 1'!S32</f>
        <v>130378.49450849999</v>
      </c>
      <c r="Q18" s="167"/>
      <c r="R18" s="167"/>
      <c r="S18" s="167"/>
    </row>
    <row r="19" spans="1:19" ht="16.5">
      <c r="A19" s="376">
        <v>47</v>
      </c>
      <c r="B19" s="376"/>
      <c r="C19" s="167" t="s">
        <v>334</v>
      </c>
      <c r="D19" s="167"/>
      <c r="E19" s="167"/>
      <c r="F19" s="167"/>
      <c r="G19" s="167"/>
      <c r="H19" s="167"/>
      <c r="I19" s="167"/>
      <c r="J19" s="167"/>
      <c r="K19" s="167"/>
      <c r="L19" s="381">
        <f>L18*0.35</f>
        <v>-159352.20811231714</v>
      </c>
      <c r="M19" s="167"/>
      <c r="N19" s="167"/>
      <c r="O19" s="167"/>
      <c r="P19" s="381" t="s">
        <v>79</v>
      </c>
      <c r="Q19" s="167"/>
      <c r="R19" s="167"/>
      <c r="S19" s="167"/>
    </row>
    <row r="20" spans="1:19" ht="16.5">
      <c r="A20" s="376">
        <v>48</v>
      </c>
      <c r="B20" s="376"/>
      <c r="C20" s="167"/>
      <c r="D20" s="167"/>
      <c r="E20" s="167"/>
      <c r="F20" s="167"/>
      <c r="G20" s="167"/>
      <c r="H20" s="167"/>
      <c r="I20" s="167"/>
      <c r="J20" s="167"/>
      <c r="K20" s="167"/>
      <c r="L20" s="382"/>
      <c r="M20" s="167"/>
      <c r="N20" s="167"/>
      <c r="O20" s="167"/>
      <c r="P20" s="382"/>
      <c r="Q20" s="167"/>
      <c r="R20" s="167"/>
      <c r="S20" s="167"/>
    </row>
    <row r="21" spans="1:19" ht="16.5">
      <c r="A21" s="376">
        <v>49</v>
      </c>
      <c r="B21" s="376"/>
      <c r="C21" s="167" t="s">
        <v>335</v>
      </c>
      <c r="D21" s="167"/>
      <c r="E21" s="167"/>
      <c r="F21" s="167"/>
      <c r="G21" s="167"/>
      <c r="H21" s="167"/>
      <c r="I21" s="167"/>
      <c r="J21" s="167"/>
      <c r="K21" s="167"/>
      <c r="L21" s="303"/>
      <c r="M21" s="167"/>
      <c r="N21" s="167"/>
      <c r="O21" s="167"/>
      <c r="P21" s="303"/>
      <c r="Q21" s="167"/>
      <c r="R21" s="167"/>
      <c r="S21" s="167"/>
    </row>
    <row r="22" spans="1:19" ht="16.5">
      <c r="A22" s="376">
        <v>50</v>
      </c>
      <c r="B22" s="376"/>
      <c r="C22" s="167" t="s">
        <v>336</v>
      </c>
      <c r="D22" s="167"/>
      <c r="E22" s="167"/>
      <c r="F22" s="167"/>
      <c r="G22" s="167"/>
      <c r="H22" s="167"/>
      <c r="I22" s="167"/>
      <c r="J22" s="167"/>
      <c r="K22" s="167"/>
      <c r="L22" s="303">
        <v>0</v>
      </c>
      <c r="M22" s="167"/>
      <c r="N22" s="167"/>
      <c r="O22" s="167"/>
      <c r="P22" s="303"/>
      <c r="Q22" s="167"/>
      <c r="R22" s="167"/>
      <c r="S22" s="167"/>
    </row>
    <row r="23" spans="1:19" ht="16.5">
      <c r="A23" s="376">
        <v>51</v>
      </c>
      <c r="B23" s="376"/>
      <c r="C23" s="167"/>
      <c r="D23" s="167"/>
      <c r="E23" s="167"/>
      <c r="F23" s="167"/>
      <c r="G23" s="167"/>
      <c r="H23" s="167"/>
      <c r="I23" s="167"/>
      <c r="J23" s="167"/>
      <c r="K23" s="167"/>
      <c r="L23" s="382"/>
      <c r="M23" s="167"/>
      <c r="N23" s="167"/>
      <c r="O23" s="167"/>
      <c r="P23" s="303"/>
      <c r="Q23" s="167"/>
      <c r="R23" s="167"/>
      <c r="S23" s="167"/>
    </row>
    <row r="24" spans="1:19" ht="16.5">
      <c r="A24" s="376">
        <v>52</v>
      </c>
      <c r="B24" s="376"/>
      <c r="C24" s="167" t="s">
        <v>337</v>
      </c>
      <c r="D24" s="167"/>
      <c r="E24" s="167"/>
      <c r="F24" s="167"/>
      <c r="G24" s="167"/>
      <c r="H24" s="167"/>
      <c r="I24" s="167"/>
      <c r="J24" s="167"/>
      <c r="K24" s="167"/>
      <c r="L24" s="303"/>
      <c r="M24" s="167"/>
      <c r="N24" s="167"/>
      <c r="O24" s="167"/>
      <c r="P24" s="303">
        <v>0</v>
      </c>
      <c r="Q24" s="167"/>
      <c r="R24" s="167"/>
      <c r="S24" s="167"/>
    </row>
    <row r="25" spans="1:19" ht="16.5">
      <c r="A25" s="376">
        <v>53</v>
      </c>
      <c r="B25" s="376"/>
      <c r="C25" s="167"/>
      <c r="D25" s="167"/>
      <c r="E25" s="167"/>
      <c r="F25" s="167"/>
      <c r="G25" s="167"/>
      <c r="H25" s="167"/>
      <c r="I25" s="167"/>
      <c r="J25" s="167"/>
      <c r="K25" s="167"/>
      <c r="L25" s="303"/>
      <c r="M25" s="167"/>
      <c r="N25" s="167"/>
      <c r="O25" s="167"/>
      <c r="P25" s="382"/>
      <c r="Q25" s="167"/>
      <c r="R25" s="167"/>
      <c r="S25" s="167"/>
    </row>
    <row r="26" spans="1:19" ht="16.5">
      <c r="A26" s="376">
        <v>54</v>
      </c>
      <c r="B26" s="376"/>
      <c r="C26" s="167" t="s">
        <v>338</v>
      </c>
      <c r="D26" s="167"/>
      <c r="E26" s="167"/>
      <c r="F26" s="167"/>
      <c r="G26" s="167"/>
      <c r="H26" s="167"/>
      <c r="I26" s="167"/>
      <c r="J26" s="167"/>
      <c r="K26" s="167"/>
      <c r="L26" s="303"/>
      <c r="M26" s="167"/>
      <c r="N26" s="167"/>
      <c r="O26" s="167"/>
      <c r="P26" s="303">
        <v>0</v>
      </c>
      <c r="Q26" s="167"/>
      <c r="R26" s="167"/>
      <c r="S26" s="167"/>
    </row>
    <row r="27" spans="1:19" ht="16.5">
      <c r="A27" s="376">
        <v>55</v>
      </c>
      <c r="B27" s="376"/>
      <c r="C27" s="167"/>
      <c r="D27" s="167"/>
      <c r="E27" s="167"/>
      <c r="F27" s="167"/>
      <c r="G27" s="167"/>
      <c r="H27" s="167"/>
      <c r="I27" s="167"/>
      <c r="J27" s="167"/>
      <c r="K27" s="167"/>
      <c r="L27" s="303"/>
      <c r="M27" s="167"/>
      <c r="N27" s="167"/>
      <c r="O27" s="167"/>
      <c r="P27" s="303"/>
      <c r="Q27" s="167"/>
      <c r="R27" s="167"/>
      <c r="S27" s="167"/>
    </row>
    <row r="28" spans="1:19" ht="16.5">
      <c r="A28" s="376">
        <v>56</v>
      </c>
      <c r="B28" s="376"/>
      <c r="C28" s="167"/>
      <c r="D28" s="167"/>
      <c r="E28" s="167"/>
      <c r="F28" s="167"/>
      <c r="G28" s="167"/>
      <c r="H28" s="167"/>
      <c r="I28" s="167"/>
      <c r="J28" s="167"/>
      <c r="K28" s="167"/>
      <c r="L28" s="303"/>
      <c r="M28" s="167"/>
      <c r="N28" s="167"/>
      <c r="O28" s="167"/>
      <c r="P28" s="303"/>
      <c r="Q28" s="167"/>
      <c r="R28" s="167"/>
      <c r="S28" s="167"/>
    </row>
    <row r="29" spans="1:19" ht="16.5">
      <c r="A29" s="376">
        <v>57</v>
      </c>
      <c r="B29" s="376"/>
      <c r="C29" s="167" t="s">
        <v>339</v>
      </c>
      <c r="D29" s="167"/>
      <c r="E29" s="167"/>
      <c r="F29" s="167"/>
      <c r="G29" s="167"/>
      <c r="H29" s="167"/>
      <c r="I29" s="167"/>
      <c r="J29" s="167"/>
      <c r="K29" s="167"/>
      <c r="L29" s="303" t="s">
        <v>79</v>
      </c>
      <c r="M29" s="167"/>
      <c r="N29" s="167"/>
      <c r="O29" s="167"/>
      <c r="P29" s="303" t="s">
        <v>79</v>
      </c>
      <c r="Q29" s="167"/>
      <c r="R29" s="167"/>
      <c r="S29" s="167"/>
    </row>
    <row r="30" spans="1:19" ht="16.5">
      <c r="A30" s="376">
        <v>58</v>
      </c>
      <c r="B30" s="376"/>
      <c r="C30" s="167"/>
      <c r="D30" s="167"/>
      <c r="E30" s="167"/>
      <c r="F30" s="167"/>
      <c r="G30" s="167"/>
      <c r="H30" s="167"/>
      <c r="I30" s="167"/>
      <c r="J30" s="167"/>
      <c r="K30" s="167"/>
      <c r="L30" s="382"/>
      <c r="M30" s="167"/>
      <c r="N30" s="167"/>
      <c r="O30" s="167"/>
      <c r="P30" s="382"/>
      <c r="Q30" s="167"/>
      <c r="R30" s="167"/>
      <c r="S30" s="167"/>
    </row>
    <row r="31" spans="1:19" ht="17.25" thickBot="1">
      <c r="A31" s="376">
        <v>59</v>
      </c>
      <c r="B31" s="376"/>
      <c r="C31" s="167" t="s">
        <v>340</v>
      </c>
      <c r="D31" s="167"/>
      <c r="E31" s="167"/>
      <c r="F31" s="167"/>
      <c r="G31" s="376"/>
      <c r="H31" s="376"/>
      <c r="I31" s="167"/>
      <c r="J31" s="167"/>
      <c r="K31" s="167"/>
      <c r="L31" s="303">
        <f>L19+L22</f>
        <v>-159352.20811231714</v>
      </c>
      <c r="M31" s="167"/>
      <c r="N31" s="167"/>
      <c r="O31" s="167"/>
      <c r="P31" s="303">
        <f>P18+P24</f>
        <v>130378.49450849999</v>
      </c>
      <c r="Q31" s="167"/>
      <c r="R31" s="167"/>
      <c r="S31" s="167"/>
    </row>
    <row r="32" spans="1:19" ht="17.25" thickTop="1">
      <c r="A32" s="376">
        <v>60</v>
      </c>
      <c r="B32" s="376"/>
      <c r="C32" s="167"/>
      <c r="D32" s="167"/>
      <c r="E32" s="167"/>
      <c r="F32" s="167"/>
      <c r="G32" s="167"/>
      <c r="H32" s="167"/>
      <c r="I32" s="167"/>
      <c r="J32" s="167"/>
      <c r="K32" s="167"/>
      <c r="L32" s="383"/>
      <c r="M32" s="167"/>
      <c r="N32" s="167"/>
      <c r="O32" s="167"/>
      <c r="P32" s="384"/>
      <c r="Q32" s="167"/>
      <c r="R32" s="167"/>
      <c r="S32" s="167"/>
    </row>
    <row r="33" spans="1:19" ht="16.5">
      <c r="A33" s="376">
        <v>61</v>
      </c>
      <c r="B33" s="376"/>
      <c r="C33" s="167" t="s">
        <v>341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303" t="s">
        <v>79</v>
      </c>
      <c r="Q33" s="167"/>
      <c r="R33" s="167"/>
      <c r="S33" s="167"/>
    </row>
    <row r="34" spans="1:19" ht="17.25" thickBot="1">
      <c r="A34" s="376">
        <v>62</v>
      </c>
      <c r="B34" s="37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381">
        <f>P31</f>
        <v>130378.49450849999</v>
      </c>
      <c r="Q34" s="167"/>
      <c r="R34" s="167"/>
      <c r="S34" s="167"/>
    </row>
    <row r="35" spans="1:19" ht="17.25" thickTop="1">
      <c r="A35" s="376">
        <v>63</v>
      </c>
      <c r="B35" s="376"/>
      <c r="C35" s="167"/>
      <c r="D35" s="167"/>
      <c r="E35" s="167"/>
      <c r="F35" s="167"/>
      <c r="G35" s="167"/>
      <c r="H35" s="167"/>
      <c r="I35" s="376"/>
      <c r="J35" s="167"/>
      <c r="K35" s="167"/>
      <c r="L35" s="167"/>
      <c r="M35" s="167"/>
      <c r="N35" s="167"/>
      <c r="O35" s="167"/>
      <c r="P35" s="383"/>
      <c r="Q35" s="167"/>
      <c r="R35" s="167"/>
      <c r="S35" s="167"/>
    </row>
    <row r="36" spans="1:19" ht="16.5">
      <c r="A36" s="376">
        <v>64</v>
      </c>
      <c r="B36" s="37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</row>
    <row r="37" spans="1:19" ht="16.5">
      <c r="A37" s="376">
        <v>65</v>
      </c>
      <c r="B37" s="167"/>
      <c r="C37" s="167"/>
      <c r="D37" s="167"/>
      <c r="E37" s="167"/>
      <c r="F37" s="167"/>
      <c r="G37" s="167"/>
      <c r="H37" s="167"/>
      <c r="I37" s="167"/>
      <c r="J37" s="385"/>
      <c r="K37" s="167"/>
      <c r="L37" s="167"/>
      <c r="M37" s="167"/>
      <c r="N37" s="167"/>
      <c r="O37" s="167"/>
      <c r="P37" s="167"/>
      <c r="Q37" s="167"/>
      <c r="R37" s="167"/>
      <c r="S37" s="167"/>
    </row>
    <row r="38" spans="1:19" ht="16.5">
      <c r="A38" s="376">
        <v>66</v>
      </c>
      <c r="B38" s="376"/>
      <c r="C38" s="167"/>
      <c r="D38" s="167"/>
      <c r="E38" s="167"/>
      <c r="F38" s="167"/>
      <c r="G38" s="167"/>
      <c r="H38" s="167"/>
      <c r="I38" s="167"/>
      <c r="J38" s="385"/>
      <c r="K38" s="167"/>
      <c r="L38" s="167"/>
      <c r="M38" s="167"/>
      <c r="N38" s="167"/>
      <c r="O38" s="167"/>
      <c r="P38" s="167"/>
      <c r="Q38" s="167"/>
      <c r="R38" s="167"/>
      <c r="S38" s="167"/>
    </row>
    <row r="39" spans="1:19" ht="16.5">
      <c r="A39" s="376">
        <v>67</v>
      </c>
      <c r="B39" s="376"/>
      <c r="C39" s="167"/>
      <c r="D39" s="167"/>
      <c r="E39" s="167"/>
      <c r="F39" s="167"/>
      <c r="G39" s="167"/>
      <c r="H39" s="167"/>
      <c r="I39" s="167"/>
      <c r="J39" s="385"/>
      <c r="K39" s="167"/>
      <c r="L39" s="167"/>
      <c r="M39" s="167"/>
      <c r="N39" s="167"/>
      <c r="O39" s="167"/>
      <c r="P39" s="167"/>
      <c r="Q39" s="376"/>
      <c r="R39" s="376"/>
      <c r="S39" s="167"/>
    </row>
    <row r="40" spans="1:19" ht="16.5">
      <c r="A40" s="376">
        <v>68</v>
      </c>
      <c r="B40" s="376"/>
      <c r="C40" s="167"/>
      <c r="D40" s="167"/>
      <c r="E40" s="167"/>
      <c r="F40" s="167"/>
      <c r="G40" s="167"/>
      <c r="H40" s="167"/>
      <c r="I40" s="167"/>
      <c r="J40" s="386"/>
      <c r="K40" s="167"/>
      <c r="L40" s="167"/>
      <c r="M40" s="167"/>
      <c r="N40" s="167"/>
      <c r="O40" s="167"/>
      <c r="P40" s="167"/>
      <c r="Q40" s="167"/>
      <c r="R40" s="167"/>
      <c r="S40" s="167"/>
    </row>
    <row r="41" spans="1:19" ht="16.5">
      <c r="A41" s="376">
        <v>69</v>
      </c>
      <c r="B41" s="376"/>
      <c r="C41" s="167"/>
      <c r="D41" s="167"/>
      <c r="E41" s="167"/>
      <c r="F41" s="167"/>
      <c r="G41" s="167"/>
      <c r="H41" s="167"/>
      <c r="I41" s="167"/>
      <c r="J41" s="386"/>
      <c r="K41" s="167"/>
      <c r="L41" s="167"/>
      <c r="M41" s="167"/>
      <c r="N41" s="167"/>
      <c r="O41" s="167"/>
      <c r="P41" s="167"/>
      <c r="Q41" s="167"/>
      <c r="R41" s="167"/>
      <c r="S41" s="167"/>
    </row>
    <row r="42" spans="1:19" ht="16.5">
      <c r="A42" s="376">
        <v>70</v>
      </c>
      <c r="B42" s="37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</row>
    <row r="43" spans="1:19" ht="16.5">
      <c r="A43" s="376">
        <v>71</v>
      </c>
      <c r="B43" s="376"/>
      <c r="C43" s="387" t="s">
        <v>342</v>
      </c>
      <c r="D43" s="167"/>
      <c r="E43" s="167"/>
      <c r="F43" s="167"/>
      <c r="G43" s="167"/>
      <c r="H43" s="167"/>
      <c r="I43" s="167"/>
      <c r="J43" s="167"/>
      <c r="K43" s="167"/>
      <c r="L43" s="167"/>
      <c r="M43" s="376"/>
      <c r="N43" s="167"/>
      <c r="O43" s="167"/>
      <c r="P43" s="167"/>
      <c r="Q43" s="167"/>
      <c r="R43" s="167"/>
      <c r="S43" s="167"/>
    </row>
    <row r="44" spans="1:19" ht="16.5">
      <c r="A44" s="376">
        <v>72</v>
      </c>
      <c r="B44" s="376"/>
      <c r="C44" s="167"/>
      <c r="D44" s="167"/>
      <c r="E44" s="167"/>
      <c r="F44" s="388" t="s">
        <v>318</v>
      </c>
      <c r="G44" s="388" t="s">
        <v>317</v>
      </c>
      <c r="H44" s="388" t="s">
        <v>47</v>
      </c>
      <c r="I44" s="388"/>
      <c r="J44" s="167"/>
      <c r="K44" s="167"/>
      <c r="L44" s="167"/>
      <c r="M44" s="389"/>
      <c r="N44" s="167"/>
      <c r="O44" s="167"/>
      <c r="P44" s="167"/>
      <c r="Q44" s="167"/>
      <c r="R44" s="167"/>
      <c r="S44" s="167"/>
    </row>
    <row r="45" spans="1:19" ht="16.5">
      <c r="A45" s="376">
        <v>73</v>
      </c>
      <c r="B45" s="376"/>
      <c r="C45" s="167" t="s">
        <v>343</v>
      </c>
      <c r="D45" s="167"/>
      <c r="E45" s="167"/>
      <c r="F45" s="390">
        <f>L31</f>
        <v>-159352.20811231714</v>
      </c>
      <c r="G45" s="390">
        <f>'C-22, p 1'!J47</f>
        <v>-9803.694952161582</v>
      </c>
      <c r="H45" s="390">
        <f>F45+G45</f>
        <v>-169155.9030644787</v>
      </c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</row>
    <row r="46" spans="1:19" ht="16.5">
      <c r="A46" s="376">
        <v>74</v>
      </c>
      <c r="B46" s="376"/>
      <c r="C46" s="167" t="s">
        <v>344</v>
      </c>
      <c r="D46" s="167"/>
      <c r="E46" s="167"/>
      <c r="F46" s="390">
        <f>P34</f>
        <v>130378.49450849999</v>
      </c>
      <c r="G46" s="390">
        <f>'C-22, p 1'!Q47</f>
        <v>4985.6926900000035</v>
      </c>
      <c r="H46" s="390">
        <f>F46+G46</f>
        <v>135364.1871985</v>
      </c>
      <c r="I46" s="167"/>
      <c r="J46" s="167"/>
      <c r="K46" s="167"/>
      <c r="L46" s="167"/>
      <c r="M46" s="376"/>
      <c r="N46" s="167"/>
      <c r="O46" s="167"/>
      <c r="P46" s="167"/>
      <c r="Q46" s="167"/>
      <c r="R46" s="167"/>
      <c r="S46" s="167"/>
    </row>
    <row r="47" spans="1:19" ht="16.5">
      <c r="A47" s="376">
        <v>75</v>
      </c>
      <c r="B47" s="376"/>
      <c r="C47" s="167" t="s">
        <v>345</v>
      </c>
      <c r="D47" s="167"/>
      <c r="E47" s="167"/>
      <c r="F47" s="167"/>
      <c r="G47" s="167"/>
      <c r="H47" s="167"/>
      <c r="I47" s="167"/>
      <c r="J47" s="167"/>
      <c r="K47" s="167"/>
      <c r="L47" s="167"/>
      <c r="M47" s="376"/>
      <c r="N47" s="167"/>
      <c r="O47" s="167"/>
      <c r="P47" s="167"/>
      <c r="Q47" s="167"/>
      <c r="R47" s="167"/>
      <c r="S47" s="167"/>
    </row>
    <row r="48" spans="1:19" ht="17.25" thickBot="1">
      <c r="A48" s="376">
        <v>76</v>
      </c>
      <c r="B48" s="376"/>
      <c r="C48" s="167" t="s">
        <v>346</v>
      </c>
      <c r="D48" s="167"/>
      <c r="E48" s="167"/>
      <c r="F48" s="391">
        <f>SUM(F45:F47)</f>
        <v>-28973.713603817145</v>
      </c>
      <c r="G48" s="391">
        <f>SUM(G45:G47)</f>
        <v>-4818.002262161579</v>
      </c>
      <c r="H48" s="391">
        <f>SUM(H45:H47)</f>
        <v>-33791.71586597871</v>
      </c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</row>
    <row r="49" spans="1:19" ht="17.25" thickTop="1">
      <c r="A49" s="376">
        <v>77</v>
      </c>
      <c r="B49" s="376"/>
      <c r="C49" s="167"/>
      <c r="D49" s="167"/>
      <c r="E49" s="167"/>
      <c r="F49" s="383"/>
      <c r="G49" s="383"/>
      <c r="H49" s="383"/>
      <c r="I49" s="167"/>
      <c r="J49" s="167"/>
      <c r="K49" s="167"/>
      <c r="L49" s="167"/>
      <c r="M49" s="376"/>
      <c r="N49" s="167"/>
      <c r="O49" s="167"/>
      <c r="P49" s="167"/>
      <c r="Q49" s="376"/>
      <c r="R49" s="376"/>
      <c r="S49" s="167"/>
    </row>
    <row r="50" spans="1:19" ht="16.5">
      <c r="A50" s="376">
        <v>78</v>
      </c>
      <c r="B50" s="376"/>
      <c r="C50" s="167"/>
      <c r="D50" s="167"/>
      <c r="E50" s="167"/>
      <c r="F50" s="167"/>
      <c r="G50" s="167"/>
      <c r="H50" s="167"/>
      <c r="I50" s="167"/>
      <c r="J50" s="386"/>
      <c r="K50" s="167"/>
      <c r="L50" s="167"/>
      <c r="M50" s="167"/>
      <c r="N50" s="167"/>
      <c r="O50" s="167"/>
      <c r="P50" s="167"/>
      <c r="Q50" s="376"/>
      <c r="R50" s="376"/>
      <c r="S50" s="167"/>
    </row>
    <row r="51" spans="1:19" ht="16.5">
      <c r="A51" s="376">
        <v>79</v>
      </c>
      <c r="B51" s="376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376"/>
      <c r="N51" s="167"/>
      <c r="O51" s="167"/>
      <c r="P51" s="167"/>
      <c r="Q51" s="167"/>
      <c r="R51" s="167"/>
      <c r="S51" s="167"/>
    </row>
    <row r="52" spans="1:19" ht="409.5">
      <c r="A52" s="376">
        <v>80</v>
      </c>
      <c r="B52" s="376"/>
      <c r="C52" s="167" t="s">
        <v>404</v>
      </c>
      <c r="D52" s="167"/>
      <c r="E52" s="167"/>
      <c r="F52" s="167"/>
      <c r="G52" s="167"/>
      <c r="H52" s="167"/>
      <c r="I52" s="167"/>
      <c r="J52" s="386"/>
      <c r="K52" s="167"/>
      <c r="L52" s="167"/>
      <c r="M52" s="167"/>
      <c r="N52" s="167"/>
      <c r="O52" s="167"/>
      <c r="P52" s="167"/>
      <c r="Q52" s="386"/>
      <c r="R52" s="386"/>
      <c r="S52" s="167"/>
    </row>
    <row r="53" spans="1:19" ht="409.5">
      <c r="A53" s="376"/>
      <c r="B53" s="37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167"/>
      <c r="O53" s="167"/>
      <c r="P53" s="167"/>
      <c r="Q53" s="167"/>
      <c r="R53" s="167"/>
      <c r="S53" s="167"/>
    </row>
    <row r="54" spans="1:19" ht="409.5">
      <c r="A54" s="392" t="s">
        <v>331</v>
      </c>
      <c r="B54" s="392"/>
      <c r="C54" s="379"/>
      <c r="D54" s="379"/>
      <c r="E54" s="379"/>
      <c r="F54" s="379" t="s">
        <v>332</v>
      </c>
      <c r="G54" s="379"/>
      <c r="H54" s="379"/>
      <c r="I54" s="379"/>
      <c r="J54" s="379"/>
      <c r="K54" s="379"/>
      <c r="L54" s="379"/>
      <c r="M54" s="392" t="s">
        <v>333</v>
      </c>
      <c r="N54" s="379"/>
      <c r="O54" s="379"/>
      <c r="P54" s="379"/>
      <c r="Q54" s="379"/>
      <c r="R54" s="379"/>
      <c r="S54" s="379"/>
    </row>
    <row r="58" spans="3:13" ht="16.5">
      <c r="C58" s="565"/>
      <c r="D58" s="372"/>
      <c r="E58" s="372"/>
      <c r="F58" s="372"/>
      <c r="G58" s="372"/>
      <c r="H58" s="372"/>
      <c r="I58" s="566"/>
      <c r="J58" s="566"/>
      <c r="K58" s="566"/>
      <c r="L58" s="566"/>
      <c r="M58" s="566"/>
    </row>
    <row r="59" spans="3:13" ht="16.5">
      <c r="C59" s="372"/>
      <c r="D59" s="372"/>
      <c r="E59" s="372"/>
      <c r="F59" s="567"/>
      <c r="G59" s="567"/>
      <c r="H59" s="567"/>
      <c r="I59" s="566"/>
      <c r="J59" s="566"/>
      <c r="K59" s="568"/>
      <c r="L59" s="568"/>
      <c r="M59" s="568"/>
    </row>
    <row r="60" spans="3:13" ht="16.5">
      <c r="C60" s="372"/>
      <c r="D60" s="372"/>
      <c r="E60" s="372"/>
      <c r="F60" s="396"/>
      <c r="G60" s="396"/>
      <c r="H60" s="396"/>
      <c r="I60" s="566"/>
      <c r="J60" s="566"/>
      <c r="K60" s="569"/>
      <c r="L60" s="569"/>
      <c r="M60" s="569"/>
    </row>
    <row r="61" spans="3:13" ht="16.5">
      <c r="C61" s="372"/>
      <c r="D61" s="372"/>
      <c r="E61" s="372"/>
      <c r="F61" s="396"/>
      <c r="G61" s="396"/>
      <c r="H61" s="396"/>
      <c r="I61" s="566"/>
      <c r="J61" s="566"/>
      <c r="K61" s="569"/>
      <c r="L61" s="569"/>
      <c r="M61" s="569"/>
    </row>
    <row r="62" spans="3:13" ht="16.5">
      <c r="C62" s="372"/>
      <c r="D62" s="372"/>
      <c r="E62" s="372"/>
      <c r="F62" s="372"/>
      <c r="G62" s="372"/>
      <c r="H62" s="372"/>
      <c r="I62" s="566"/>
      <c r="J62" s="566"/>
      <c r="K62" s="566"/>
      <c r="L62" s="566"/>
      <c r="M62" s="566"/>
    </row>
    <row r="63" spans="3:13" ht="16.5">
      <c r="C63" s="372"/>
      <c r="D63" s="372"/>
      <c r="E63" s="372"/>
      <c r="F63" s="570"/>
      <c r="G63" s="570"/>
      <c r="H63" s="570"/>
      <c r="I63" s="566"/>
      <c r="J63" s="566"/>
      <c r="K63" s="570"/>
      <c r="L63" s="570"/>
      <c r="M63" s="570"/>
    </row>
    <row r="64" spans="3:13" ht="409.5">
      <c r="C64" s="566"/>
      <c r="D64" s="566"/>
      <c r="E64" s="566"/>
      <c r="F64" s="566"/>
      <c r="G64" s="566"/>
      <c r="H64" s="566"/>
      <c r="I64" s="566"/>
      <c r="J64" s="566"/>
      <c r="K64" s="566"/>
      <c r="L64" s="566"/>
      <c r="M64" s="566"/>
    </row>
    <row r="65" spans="3:13" ht="16.5">
      <c r="C65" s="566"/>
      <c r="D65" s="566"/>
      <c r="E65" s="566"/>
      <c r="F65" s="566"/>
      <c r="G65" s="566"/>
      <c r="H65" s="566"/>
      <c r="I65" s="566"/>
      <c r="J65" s="566"/>
      <c r="K65" s="566"/>
      <c r="L65" s="566"/>
      <c r="M65" s="566"/>
    </row>
    <row r="66" spans="3:13" ht="16.5"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566"/>
    </row>
  </sheetData>
  <sheetProtection/>
  <mergeCells count="1">
    <mergeCell ref="D10:F10"/>
  </mergeCells>
  <printOptions/>
  <pageMargins left="0.17" right="0.18" top="1.1" bottom="0.32" header="0.5" footer="0.18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8"/>
  <sheetViews>
    <sheetView zoomScale="90" zoomScaleNormal="90" zoomScalePageLayoutView="0" workbookViewId="0" topLeftCell="A1">
      <selection activeCell="A2" sqref="A2"/>
    </sheetView>
  </sheetViews>
  <sheetFormatPr defaultColWidth="6.99609375" defaultRowHeight="15"/>
  <cols>
    <col min="1" max="1" width="4.99609375" style="546" customWidth="1"/>
    <col min="2" max="2" width="11.4453125" style="546" customWidth="1"/>
    <col min="3" max="4" width="11.99609375" style="546" bestFit="1" customWidth="1"/>
    <col min="5" max="6" width="11.4453125" style="546" customWidth="1"/>
    <col min="7" max="7" width="11.99609375" style="546" bestFit="1" customWidth="1"/>
    <col min="8" max="8" width="11.4453125" style="546" customWidth="1"/>
    <col min="9" max="9" width="7.3359375" style="546" bestFit="1" customWidth="1"/>
    <col min="10" max="21" width="8.10546875" style="546" bestFit="1" customWidth="1"/>
    <col min="22" max="22" width="7.88671875" style="546" bestFit="1" customWidth="1"/>
    <col min="23" max="16384" width="6.99609375" style="546" customWidth="1"/>
  </cols>
  <sheetData>
    <row r="1" s="620" customFormat="1" ht="15">
      <c r="A1" s="620" t="s">
        <v>583</v>
      </c>
    </row>
    <row r="2" s="620" customFormat="1" ht="15">
      <c r="A2" s="620" t="s">
        <v>571</v>
      </c>
    </row>
    <row r="3" s="620" customFormat="1" ht="15"/>
    <row r="4" ht="15">
      <c r="B4" s="545" t="s">
        <v>522</v>
      </c>
    </row>
    <row r="5" ht="15">
      <c r="B5" s="545" t="s">
        <v>523</v>
      </c>
    </row>
    <row r="6" ht="15">
      <c r="B6" s="545"/>
    </row>
    <row r="8" ht="15" thickBot="1"/>
    <row r="9" spans="2:8" ht="15" thickTop="1">
      <c r="B9" s="547"/>
      <c r="C9" s="548" t="s">
        <v>524</v>
      </c>
      <c r="D9" s="548" t="s">
        <v>525</v>
      </c>
      <c r="E9" s="548" t="s">
        <v>526</v>
      </c>
      <c r="F9" s="548" t="s">
        <v>527</v>
      </c>
      <c r="G9" s="548" t="s">
        <v>528</v>
      </c>
      <c r="H9" s="548" t="s">
        <v>529</v>
      </c>
    </row>
    <row r="10" spans="3:8" ht="15">
      <c r="C10" s="549"/>
      <c r="D10" s="550" t="s">
        <v>530</v>
      </c>
      <c r="E10" s="550"/>
      <c r="F10" s="550"/>
      <c r="G10" s="550" t="s">
        <v>531</v>
      </c>
      <c r="H10" s="550" t="s">
        <v>532</v>
      </c>
    </row>
    <row r="12" spans="4:8" ht="15">
      <c r="D12" s="551" t="s">
        <v>533</v>
      </c>
      <c r="E12" s="551"/>
      <c r="F12" s="551" t="s">
        <v>534</v>
      </c>
      <c r="G12" s="551" t="s">
        <v>535</v>
      </c>
      <c r="H12" s="551" t="s">
        <v>533</v>
      </c>
    </row>
    <row r="13" spans="2:8" ht="15">
      <c r="B13" s="551"/>
      <c r="D13" s="551" t="s">
        <v>536</v>
      </c>
      <c r="E13" s="551" t="s">
        <v>537</v>
      </c>
      <c r="F13" s="551" t="s">
        <v>538</v>
      </c>
      <c r="G13" s="551" t="s">
        <v>539</v>
      </c>
      <c r="H13" s="551" t="s">
        <v>535</v>
      </c>
    </row>
    <row r="14" spans="2:8" ht="15" thickBot="1">
      <c r="B14" s="552" t="s">
        <v>540</v>
      </c>
      <c r="C14" s="552" t="s">
        <v>541</v>
      </c>
      <c r="D14" s="552" t="s">
        <v>226</v>
      </c>
      <c r="E14" s="552" t="s">
        <v>542</v>
      </c>
      <c r="F14" s="552" t="s">
        <v>543</v>
      </c>
      <c r="G14" s="552" t="s">
        <v>541</v>
      </c>
      <c r="H14" s="552" t="s">
        <v>226</v>
      </c>
    </row>
    <row r="15" spans="2:8" ht="15" thickTop="1">
      <c r="B15" s="551"/>
      <c r="C15" s="551"/>
      <c r="D15" s="551"/>
      <c r="E15" s="551"/>
      <c r="F15" s="551"/>
      <c r="G15" s="551"/>
      <c r="H15" s="551"/>
    </row>
    <row r="16" spans="2:8" ht="15">
      <c r="B16" s="551"/>
      <c r="C16" s="551"/>
      <c r="D16" s="551"/>
      <c r="E16" s="551"/>
      <c r="F16" s="551"/>
      <c r="G16" s="551"/>
      <c r="H16" s="551"/>
    </row>
    <row r="17" spans="2:8" ht="15">
      <c r="B17" s="546" t="s">
        <v>544</v>
      </c>
      <c r="D17" s="553">
        <v>23983617.416792654</v>
      </c>
      <c r="H17" s="553">
        <f>D17</f>
        <v>23983617.416792654</v>
      </c>
    </row>
    <row r="19" spans="2:22" ht="15">
      <c r="B19" s="546" t="s">
        <v>456</v>
      </c>
      <c r="C19" s="553">
        <v>-126617008.18555087</v>
      </c>
      <c r="D19" s="553">
        <f>D17+C19</f>
        <v>-102633390.76875821</v>
      </c>
      <c r="E19" s="554">
        <v>30</v>
      </c>
      <c r="F19" s="554">
        <f>SUM(E20:$E$30)+1</f>
        <v>336</v>
      </c>
      <c r="G19" s="553">
        <f aca="true" t="shared" si="0" ref="G19:G30">C19*(F19/$E$31)</f>
        <v>-116557026.71327423</v>
      </c>
      <c r="H19" s="553">
        <f>H17+G19</f>
        <v>-92573409.29648158</v>
      </c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</row>
    <row r="20" spans="2:8" ht="15">
      <c r="B20" s="546" t="s">
        <v>457</v>
      </c>
      <c r="C20" s="553">
        <v>-746924.857925877</v>
      </c>
      <c r="D20" s="553">
        <f>D19+C20</f>
        <v>-103380315.62668408</v>
      </c>
      <c r="E20" s="554">
        <v>31</v>
      </c>
      <c r="F20" s="554">
        <f>SUM(E21:$E$30)+1</f>
        <v>305</v>
      </c>
      <c r="G20" s="553">
        <f t="shared" si="0"/>
        <v>-624142.6894997054</v>
      </c>
      <c r="H20" s="553">
        <f>H19+G20</f>
        <v>-93197551.98598129</v>
      </c>
    </row>
    <row r="21" spans="2:8" ht="15">
      <c r="B21" s="546" t="s">
        <v>458</v>
      </c>
      <c r="C21" s="553">
        <v>-746924.857925877</v>
      </c>
      <c r="D21" s="553">
        <f aca="true" t="shared" si="1" ref="D21:D30">D20+C21</f>
        <v>-104127240.48460996</v>
      </c>
      <c r="E21" s="554">
        <v>31</v>
      </c>
      <c r="F21" s="554">
        <f>SUM(E22:$E$30)+1</f>
        <v>274</v>
      </c>
      <c r="G21" s="553">
        <f t="shared" si="0"/>
        <v>-560705.2358128502</v>
      </c>
      <c r="H21" s="553">
        <f aca="true" t="shared" si="2" ref="H21:H30">H20+G21</f>
        <v>-93758257.22179413</v>
      </c>
    </row>
    <row r="22" spans="2:8" ht="15">
      <c r="B22" s="546" t="s">
        <v>459</v>
      </c>
      <c r="C22" s="553">
        <v>-746924.857925877</v>
      </c>
      <c r="D22" s="553">
        <f t="shared" si="1"/>
        <v>-104874165.34253584</v>
      </c>
      <c r="E22" s="554">
        <v>30</v>
      </c>
      <c r="F22" s="554">
        <f>SUM(E23:$E$30)+1</f>
        <v>244</v>
      </c>
      <c r="G22" s="553">
        <f t="shared" si="0"/>
        <v>-499314.15159976436</v>
      </c>
      <c r="H22" s="553">
        <f t="shared" si="2"/>
        <v>-94257571.3733939</v>
      </c>
    </row>
    <row r="23" spans="2:8" ht="15">
      <c r="B23" s="546" t="s">
        <v>460</v>
      </c>
      <c r="C23" s="553">
        <v>-746924.857925877</v>
      </c>
      <c r="D23" s="553">
        <f t="shared" si="1"/>
        <v>-105621090.20046172</v>
      </c>
      <c r="E23" s="554">
        <v>31</v>
      </c>
      <c r="F23" s="554">
        <f>SUM(E24:$E$30)+1</f>
        <v>213</v>
      </c>
      <c r="G23" s="553">
        <f t="shared" si="0"/>
        <v>-435876.6979129091</v>
      </c>
      <c r="H23" s="553">
        <f t="shared" si="2"/>
        <v>-94693448.0713068</v>
      </c>
    </row>
    <row r="24" spans="2:8" ht="15">
      <c r="B24" s="546" t="s">
        <v>461</v>
      </c>
      <c r="C24" s="553">
        <v>-746924.857925877</v>
      </c>
      <c r="D24" s="553">
        <f t="shared" si="1"/>
        <v>-106368015.05838759</v>
      </c>
      <c r="E24" s="554">
        <v>30</v>
      </c>
      <c r="F24" s="554">
        <f>SUM(E25:$E$30)+1</f>
        <v>183</v>
      </c>
      <c r="G24" s="553">
        <f t="shared" si="0"/>
        <v>-374485.61369982327</v>
      </c>
      <c r="H24" s="553">
        <f t="shared" si="2"/>
        <v>-95067933.68500662</v>
      </c>
    </row>
    <row r="25" spans="2:8" ht="15">
      <c r="B25" s="546" t="s">
        <v>462</v>
      </c>
      <c r="C25" s="553">
        <v>-746924.857925877</v>
      </c>
      <c r="D25" s="553">
        <f t="shared" si="1"/>
        <v>-107114939.91631347</v>
      </c>
      <c r="E25" s="554">
        <v>31</v>
      </c>
      <c r="F25" s="554">
        <f>SUM(E26:$E$30)+1</f>
        <v>152</v>
      </c>
      <c r="G25" s="553">
        <f t="shared" si="0"/>
        <v>-311048.16001296794</v>
      </c>
      <c r="H25" s="553">
        <f t="shared" si="2"/>
        <v>-95378981.8450196</v>
      </c>
    </row>
    <row r="26" spans="2:8" ht="15">
      <c r="B26" s="546" t="s">
        <v>463</v>
      </c>
      <c r="C26" s="553">
        <v>-853126.0522382259</v>
      </c>
      <c r="D26" s="553">
        <f t="shared" si="1"/>
        <v>-107968065.9685517</v>
      </c>
      <c r="E26" s="554">
        <v>31</v>
      </c>
      <c r="F26" s="554">
        <f>SUM(E27:$E$30)+1</f>
        <v>121</v>
      </c>
      <c r="G26" s="553">
        <f t="shared" si="0"/>
        <v>-282817.12964609684</v>
      </c>
      <c r="H26" s="553">
        <f t="shared" si="2"/>
        <v>-95661798.97466569</v>
      </c>
    </row>
    <row r="27" spans="2:8" ht="15">
      <c r="B27" s="546" t="s">
        <v>464</v>
      </c>
      <c r="C27" s="553">
        <v>-853126.0522382259</v>
      </c>
      <c r="D27" s="553">
        <f t="shared" si="1"/>
        <v>-108821192.02078992</v>
      </c>
      <c r="E27" s="554">
        <v>28</v>
      </c>
      <c r="F27" s="554">
        <f>SUM(E28:$E$30)+1</f>
        <v>93</v>
      </c>
      <c r="G27" s="553">
        <f t="shared" si="0"/>
        <v>-217371.84344700005</v>
      </c>
      <c r="H27" s="553">
        <f t="shared" si="2"/>
        <v>-95879170.81811269</v>
      </c>
    </row>
    <row r="28" spans="2:8" ht="15">
      <c r="B28" s="546" t="s">
        <v>465</v>
      </c>
      <c r="C28" s="553">
        <v>-853126.0522382259</v>
      </c>
      <c r="D28" s="553">
        <f t="shared" si="1"/>
        <v>-109674318.07302815</v>
      </c>
      <c r="E28" s="554">
        <v>31</v>
      </c>
      <c r="F28" s="554">
        <f>SUM(E29:$E$30)+1</f>
        <v>62</v>
      </c>
      <c r="G28" s="553">
        <f t="shared" si="0"/>
        <v>-144914.562298</v>
      </c>
      <c r="H28" s="553">
        <f t="shared" si="2"/>
        <v>-96024085.38041069</v>
      </c>
    </row>
    <row r="29" spans="2:8" ht="15">
      <c r="B29" s="546" t="s">
        <v>466</v>
      </c>
      <c r="C29" s="553">
        <v>-853126.0522382259</v>
      </c>
      <c r="D29" s="553">
        <f t="shared" si="1"/>
        <v>-110527444.12526637</v>
      </c>
      <c r="E29" s="554">
        <v>30</v>
      </c>
      <c r="F29" s="554">
        <f>SUM(E30:$E$30)+1</f>
        <v>32</v>
      </c>
      <c r="G29" s="553">
        <f t="shared" si="0"/>
        <v>-74794.61279896775</v>
      </c>
      <c r="H29" s="553">
        <f t="shared" si="2"/>
        <v>-96098879.99320966</v>
      </c>
    </row>
    <row r="30" spans="2:8" ht="15">
      <c r="B30" s="546" t="s">
        <v>467</v>
      </c>
      <c r="C30" s="553">
        <v>-853126.0522382259</v>
      </c>
      <c r="D30" s="553">
        <f t="shared" si="1"/>
        <v>-111380570.1775046</v>
      </c>
      <c r="E30" s="554">
        <v>31</v>
      </c>
      <c r="F30" s="554">
        <v>1</v>
      </c>
      <c r="G30" s="553">
        <f t="shared" si="0"/>
        <v>-2337.331649967742</v>
      </c>
      <c r="H30" s="553">
        <f t="shared" si="2"/>
        <v>-96101217.32485963</v>
      </c>
    </row>
    <row r="31" spans="2:5" ht="15">
      <c r="B31" s="555" t="s">
        <v>66</v>
      </c>
      <c r="C31" s="556">
        <f>SUM(C19:C30)</f>
        <v>-135364187.59429726</v>
      </c>
      <c r="E31" s="557">
        <f>SUM(E19:E30)</f>
        <v>365</v>
      </c>
    </row>
    <row r="34" spans="2:9" ht="15" thickBot="1">
      <c r="B34" s="546" t="s">
        <v>545</v>
      </c>
      <c r="D34" s="558">
        <f>SUM(D17:D30)/13</f>
        <v>-96808240.79585375</v>
      </c>
      <c r="H34" s="563">
        <f>SUM(H17:H30)/13</f>
        <v>-85746822.19641921</v>
      </c>
      <c r="I34" s="546" t="s">
        <v>563</v>
      </c>
    </row>
    <row r="35" ht="15" thickTop="1">
      <c r="D35" s="553"/>
    </row>
    <row r="36" spans="2:8" ht="15.75" thickBot="1">
      <c r="B36" s="559" t="s">
        <v>546</v>
      </c>
      <c r="C36" s="559"/>
      <c r="D36" s="559"/>
      <c r="E36" s="559"/>
      <c r="F36" s="559"/>
      <c r="G36" s="559"/>
      <c r="H36" s="560">
        <f>H34-D34</f>
        <v>11061418.59943454</v>
      </c>
    </row>
    <row r="37" ht="15.75" thickTop="1"/>
    <row r="38" ht="409.5">
      <c r="H38" s="561"/>
    </row>
    <row r="47" spans="2:5" ht="15">
      <c r="B47" s="546" t="s">
        <v>456</v>
      </c>
      <c r="E47" s="554">
        <v>30</v>
      </c>
    </row>
    <row r="48" spans="2:5" ht="15">
      <c r="B48" s="546" t="s">
        <v>457</v>
      </c>
      <c r="E48" s="554">
        <v>31</v>
      </c>
    </row>
    <row r="49" spans="2:5" ht="15">
      <c r="B49" s="546" t="s">
        <v>458</v>
      </c>
      <c r="E49" s="554">
        <v>31</v>
      </c>
    </row>
    <row r="50" spans="2:5" ht="15">
      <c r="B50" s="546" t="s">
        <v>459</v>
      </c>
      <c r="E50" s="554">
        <v>30</v>
      </c>
    </row>
    <row r="51" spans="2:5" ht="15">
      <c r="B51" s="546" t="s">
        <v>460</v>
      </c>
      <c r="E51" s="554">
        <v>31</v>
      </c>
    </row>
    <row r="52" spans="2:5" ht="15">
      <c r="B52" s="546" t="s">
        <v>461</v>
      </c>
      <c r="E52" s="554">
        <v>30</v>
      </c>
    </row>
    <row r="53" spans="2:5" ht="15">
      <c r="B53" s="546" t="s">
        <v>462</v>
      </c>
      <c r="E53" s="554">
        <v>31</v>
      </c>
    </row>
    <row r="54" spans="2:5" ht="15">
      <c r="B54" s="546" t="s">
        <v>463</v>
      </c>
      <c r="E54" s="554">
        <v>31</v>
      </c>
    </row>
    <row r="55" spans="2:5" ht="15">
      <c r="B55" s="546" t="s">
        <v>464</v>
      </c>
      <c r="E55" s="554">
        <v>28</v>
      </c>
    </row>
    <row r="56" spans="2:5" ht="409.5">
      <c r="B56" s="546" t="s">
        <v>465</v>
      </c>
      <c r="E56" s="554">
        <v>31</v>
      </c>
    </row>
    <row r="57" spans="2:5" ht="409.5">
      <c r="B57" s="546" t="s">
        <v>466</v>
      </c>
      <c r="E57" s="554">
        <v>30</v>
      </c>
    </row>
    <row r="58" spans="2:5" ht="15">
      <c r="B58" s="546" t="s">
        <v>467</v>
      </c>
      <c r="E58" s="554">
        <v>31</v>
      </c>
    </row>
  </sheetData>
  <sheetProtection/>
  <printOptions/>
  <pageMargins left="0.7" right="0.7" top="0.75" bottom="0.75" header="0.3" footer="0.3"/>
  <pageSetup horizontalDpi="600" verticalDpi="600" orientation="landscape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52"/>
  <sheetViews>
    <sheetView showGridLines="0" showOutlineSymbols="0" view="pageBreakPreview" zoomScale="60" zoomScaleNormal="75" zoomScalePageLayoutView="0" workbookViewId="0" topLeftCell="A1">
      <selection activeCell="A1" sqref="A1"/>
    </sheetView>
  </sheetViews>
  <sheetFormatPr defaultColWidth="12.4453125" defaultRowHeight="15"/>
  <cols>
    <col min="1" max="3" width="12.4453125" style="172" customWidth="1"/>
    <col min="4" max="4" width="5.4453125" style="172" customWidth="1"/>
    <col min="5" max="16" width="12.4453125" style="172" customWidth="1"/>
    <col min="17" max="17" width="27.88671875" style="172" customWidth="1"/>
    <col min="18" max="18" width="12.4453125" style="182" customWidth="1"/>
    <col min="19" max="16384" width="12.4453125" style="172" customWidth="1"/>
  </cols>
  <sheetData>
    <row r="1" spans="1:18" s="618" customFormat="1" ht="15">
      <c r="A1" s="618" t="s">
        <v>584</v>
      </c>
      <c r="R1" s="619"/>
    </row>
    <row r="2" spans="1:18" s="618" customFormat="1" ht="15">
      <c r="A2" s="618" t="s">
        <v>571</v>
      </c>
      <c r="R2" s="619"/>
    </row>
    <row r="3" s="618" customFormat="1" ht="15">
      <c r="R3" s="619"/>
    </row>
    <row r="4" spans="1:19" ht="16.5">
      <c r="A4" s="168" t="s">
        <v>350</v>
      </c>
      <c r="B4" s="169"/>
      <c r="C4" s="168"/>
      <c r="D4" s="168"/>
      <c r="E4" s="169"/>
      <c r="F4" s="168"/>
      <c r="G4" s="170"/>
      <c r="H4" s="169" t="s">
        <v>351</v>
      </c>
      <c r="I4" s="169"/>
      <c r="J4" s="169"/>
      <c r="K4" s="169"/>
      <c r="L4" s="168"/>
      <c r="M4" s="168"/>
      <c r="N4" s="168"/>
      <c r="O4" s="170"/>
      <c r="P4" s="168"/>
      <c r="Q4" s="16" t="s">
        <v>19</v>
      </c>
      <c r="R4" s="171"/>
      <c r="S4" s="170"/>
    </row>
    <row r="5" spans="1:19" ht="17.25" thickBot="1">
      <c r="A5" s="141" t="str">
        <f>+'A-1'!A5</f>
        <v>2019 Okeechobee Limited Scope Adjustment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71"/>
      <c r="S5" s="170"/>
    </row>
    <row r="6" spans="1:19" ht="16.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1"/>
      <c r="S6" s="170"/>
    </row>
    <row r="7" spans="1:19" ht="16.5">
      <c r="A7" s="168" t="s">
        <v>2</v>
      </c>
      <c r="B7" s="168"/>
      <c r="C7" s="168"/>
      <c r="D7" s="168"/>
      <c r="E7" s="168" t="s">
        <v>352</v>
      </c>
      <c r="G7" s="169" t="s">
        <v>353</v>
      </c>
      <c r="I7" s="169"/>
      <c r="J7" s="169"/>
      <c r="K7" s="169"/>
      <c r="L7" s="168"/>
      <c r="M7" s="168"/>
      <c r="N7" s="168"/>
      <c r="O7" s="168" t="s">
        <v>5</v>
      </c>
      <c r="P7" s="168"/>
      <c r="Q7" s="168"/>
      <c r="R7" s="171"/>
      <c r="S7" s="170"/>
    </row>
    <row r="8" spans="1:19" ht="16.5">
      <c r="A8" s="168"/>
      <c r="B8" s="168"/>
      <c r="C8" s="168"/>
      <c r="D8" s="168"/>
      <c r="F8" s="169"/>
      <c r="G8" s="169" t="s">
        <v>371</v>
      </c>
      <c r="I8" s="169"/>
      <c r="J8" s="169"/>
      <c r="K8" s="169"/>
      <c r="L8" s="168"/>
      <c r="M8" s="168"/>
      <c r="N8" s="168"/>
      <c r="P8" s="168"/>
      <c r="Q8" s="168"/>
      <c r="R8" s="171"/>
      <c r="S8" s="170"/>
    </row>
    <row r="9" spans="1:19" ht="16.5">
      <c r="A9" s="168" t="s">
        <v>117</v>
      </c>
      <c r="B9" s="19" t="s">
        <v>347</v>
      </c>
      <c r="C9" s="168"/>
      <c r="D9" s="168"/>
      <c r="F9" s="169"/>
      <c r="G9" s="175" t="s">
        <v>498</v>
      </c>
      <c r="H9" s="169"/>
      <c r="I9" s="169"/>
      <c r="J9" s="169"/>
      <c r="K9" s="169"/>
      <c r="L9" s="168"/>
      <c r="M9" s="168"/>
      <c r="N9" s="168"/>
      <c r="O9" s="173" t="s">
        <v>444</v>
      </c>
      <c r="P9" s="168"/>
      <c r="Q9" s="168"/>
      <c r="R9" s="171"/>
      <c r="S9" s="170"/>
    </row>
    <row r="10" spans="1:19" ht="17.25">
      <c r="A10" s="168"/>
      <c r="B10" s="19" t="s">
        <v>348</v>
      </c>
      <c r="C10" s="183"/>
      <c r="D10" s="183"/>
      <c r="E10" s="183"/>
      <c r="F10" s="169"/>
      <c r="G10" s="169"/>
      <c r="H10" s="169"/>
      <c r="I10" s="169"/>
      <c r="J10" s="169"/>
      <c r="K10" s="169"/>
      <c r="L10" s="168"/>
      <c r="M10" s="168"/>
      <c r="N10" s="168"/>
      <c r="O10" s="168"/>
      <c r="Q10" s="168"/>
      <c r="R10" s="171"/>
      <c r="S10" s="170"/>
    </row>
    <row r="11" spans="2:19" ht="16.5">
      <c r="B11" s="168"/>
      <c r="C11" s="168"/>
      <c r="D11" s="168"/>
      <c r="F11" s="169"/>
      <c r="G11" s="169"/>
      <c r="H11" s="169"/>
      <c r="I11" s="169"/>
      <c r="J11" s="169"/>
      <c r="K11" s="169"/>
      <c r="L11" s="168"/>
      <c r="M11" s="168"/>
      <c r="N11" s="168"/>
      <c r="O11" s="149" t="s">
        <v>549</v>
      </c>
      <c r="Q11" s="168"/>
      <c r="R11" s="171"/>
      <c r="S11" s="170"/>
    </row>
    <row r="12" spans="1:19" ht="16.5">
      <c r="A12" s="168" t="str">
        <f>+'A-1'!A12</f>
        <v>DOCKET NO.: 160021-EI</v>
      </c>
      <c r="B12" s="168"/>
      <c r="C12" s="168"/>
      <c r="D12" s="168"/>
      <c r="F12" s="169"/>
      <c r="H12" s="169"/>
      <c r="I12" s="169"/>
      <c r="J12" s="169"/>
      <c r="K12" s="169"/>
      <c r="L12" s="168"/>
      <c r="M12" s="168"/>
      <c r="N12" s="168"/>
      <c r="O12" s="168"/>
      <c r="P12" s="168"/>
      <c r="Q12" s="168"/>
      <c r="R12" s="171"/>
      <c r="S12" s="170"/>
    </row>
    <row r="13" spans="1:19" ht="17.25" thickBo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71"/>
      <c r="S13" s="170"/>
    </row>
    <row r="14" spans="1:19" ht="16.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1"/>
      <c r="S14" s="170"/>
    </row>
    <row r="15" spans="1:19" ht="16.5">
      <c r="A15" s="168"/>
      <c r="B15" s="168"/>
      <c r="C15" s="168"/>
      <c r="D15" s="168"/>
      <c r="E15" s="168"/>
      <c r="F15" s="168"/>
      <c r="G15" s="168"/>
      <c r="I15" s="176" t="s">
        <v>21</v>
      </c>
      <c r="K15" s="168"/>
      <c r="L15" s="176"/>
      <c r="M15" s="176" t="s">
        <v>22</v>
      </c>
      <c r="P15" s="168"/>
      <c r="Q15" s="168"/>
      <c r="R15" s="171"/>
      <c r="S15" s="170"/>
    </row>
    <row r="16" spans="1:19" ht="16.5">
      <c r="A16" s="168"/>
      <c r="B16" s="168"/>
      <c r="C16" s="168"/>
      <c r="D16" s="168"/>
      <c r="E16" s="168"/>
      <c r="F16" s="168"/>
      <c r="G16" s="168"/>
      <c r="I16" s="176" t="s">
        <v>354</v>
      </c>
      <c r="K16" s="168"/>
      <c r="L16" s="176"/>
      <c r="M16" s="176" t="s">
        <v>355</v>
      </c>
      <c r="P16" s="168"/>
      <c r="Q16" s="168"/>
      <c r="R16" s="171"/>
      <c r="S16" s="170"/>
    </row>
    <row r="17" spans="1:19" ht="16.5">
      <c r="A17" s="176" t="s">
        <v>6</v>
      </c>
      <c r="B17" s="168"/>
      <c r="C17" s="168"/>
      <c r="D17" s="168"/>
      <c r="E17" s="168"/>
      <c r="F17" s="168"/>
      <c r="G17" s="168"/>
      <c r="I17" s="176" t="s">
        <v>356</v>
      </c>
      <c r="K17" s="168"/>
      <c r="L17" s="176"/>
      <c r="M17" s="176" t="s">
        <v>356</v>
      </c>
      <c r="P17" s="168"/>
      <c r="Q17" s="168"/>
      <c r="R17" s="171"/>
      <c r="S17" s="170"/>
    </row>
    <row r="18" spans="1:19" ht="16.5">
      <c r="A18" s="176" t="s">
        <v>48</v>
      </c>
      <c r="B18" s="168" t="s">
        <v>357</v>
      </c>
      <c r="C18" s="168"/>
      <c r="D18" s="168"/>
      <c r="E18" s="168"/>
      <c r="F18" s="168"/>
      <c r="G18" s="168"/>
      <c r="I18" s="177" t="s">
        <v>358</v>
      </c>
      <c r="K18" s="168"/>
      <c r="L18" s="177"/>
      <c r="M18" s="177" t="s">
        <v>358</v>
      </c>
      <c r="P18" s="168"/>
      <c r="Q18" s="168"/>
      <c r="R18" s="171"/>
      <c r="S18" s="170"/>
    </row>
    <row r="19" spans="1:19" ht="17.25" thickBot="1">
      <c r="A19" s="44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489" t="s">
        <v>63</v>
      </c>
      <c r="N19" s="169"/>
      <c r="O19" s="169"/>
      <c r="P19" s="169"/>
      <c r="Q19" s="169"/>
      <c r="R19" s="178"/>
      <c r="S19" s="179"/>
    </row>
    <row r="20" spans="1:19" ht="16.5">
      <c r="A20" s="450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74"/>
      <c r="Q20" s="174"/>
      <c r="R20" s="171"/>
      <c r="S20" s="170"/>
    </row>
    <row r="21" spans="1:19" ht="16.5">
      <c r="A21" s="449">
        <v>2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8"/>
      <c r="Q21" s="168"/>
      <c r="R21" s="171"/>
      <c r="S21" s="170"/>
    </row>
    <row r="22" spans="1:19" ht="16.5">
      <c r="A22" s="176">
        <v>3</v>
      </c>
      <c r="B22" s="169" t="s">
        <v>359</v>
      </c>
      <c r="C22" s="169"/>
      <c r="D22" s="169"/>
      <c r="E22" s="169"/>
      <c r="F22" s="169"/>
      <c r="G22" s="169"/>
      <c r="H22" s="169"/>
      <c r="I22" s="169" t="s">
        <v>383</v>
      </c>
      <c r="J22" s="169"/>
      <c r="K22" s="169"/>
      <c r="L22" s="169"/>
      <c r="M22" s="313">
        <f>+'D-1a'!D23*'D-1a'!M23</f>
        <v>21605.067115426624</v>
      </c>
      <c r="N22" s="169"/>
      <c r="O22" s="169"/>
      <c r="P22" s="168"/>
      <c r="Q22" s="168"/>
      <c r="R22" s="171"/>
      <c r="S22" s="170"/>
    </row>
    <row r="23" spans="1:19" ht="16.5">
      <c r="A23" s="449">
        <v>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8"/>
      <c r="Q23" s="168"/>
      <c r="R23" s="171"/>
      <c r="S23" s="170"/>
    </row>
    <row r="24" spans="1:19" ht="16.5">
      <c r="A24" s="449">
        <v>5</v>
      </c>
      <c r="B24" s="169" t="s">
        <v>360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306">
        <v>0</v>
      </c>
      <c r="N24" s="169"/>
      <c r="O24" s="169"/>
      <c r="P24" s="168"/>
      <c r="Q24" s="168"/>
      <c r="R24" s="171"/>
      <c r="S24" s="170"/>
    </row>
    <row r="25" spans="1:19" ht="16.5">
      <c r="A25" s="176">
        <v>6</v>
      </c>
      <c r="B25" s="169" t="s">
        <v>361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306"/>
      <c r="N25" s="169"/>
      <c r="O25" s="169"/>
      <c r="P25" s="168"/>
      <c r="Q25" s="168"/>
      <c r="R25" s="171"/>
      <c r="S25" s="170"/>
    </row>
    <row r="26" spans="1:19" ht="16.5">
      <c r="A26" s="449">
        <v>7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306"/>
      <c r="N26" s="169"/>
      <c r="O26" s="169"/>
      <c r="P26" s="168"/>
      <c r="Q26" s="168"/>
      <c r="R26" s="171"/>
      <c r="S26" s="170"/>
    </row>
    <row r="27" spans="1:19" ht="16.5">
      <c r="A27" s="449">
        <v>8</v>
      </c>
      <c r="B27" s="169" t="s">
        <v>362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306">
        <v>0</v>
      </c>
      <c r="N27" s="169"/>
      <c r="O27" s="169"/>
      <c r="P27" s="168"/>
      <c r="Q27" s="168"/>
      <c r="R27" s="171"/>
      <c r="S27" s="170"/>
    </row>
    <row r="28" spans="1:19" ht="16.5">
      <c r="A28" s="176">
        <v>9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306"/>
      <c r="N28" s="169"/>
      <c r="O28" s="169"/>
      <c r="P28" s="168"/>
      <c r="Q28" s="168"/>
      <c r="R28" s="171"/>
      <c r="S28" s="170"/>
    </row>
    <row r="29" spans="1:19" ht="16.5">
      <c r="A29" s="449">
        <v>10</v>
      </c>
      <c r="B29" s="168" t="s">
        <v>363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306">
        <v>0</v>
      </c>
      <c r="N29" s="169"/>
      <c r="O29" s="169"/>
      <c r="P29" s="168"/>
      <c r="Q29" s="168"/>
      <c r="R29" s="171"/>
      <c r="S29" s="170"/>
    </row>
    <row r="30" spans="1:19" ht="16.5">
      <c r="A30" s="449">
        <v>11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306"/>
      <c r="N30" s="169"/>
      <c r="O30" s="169"/>
      <c r="P30" s="168"/>
      <c r="Q30" s="168"/>
      <c r="R30" s="171"/>
      <c r="S30" s="170"/>
    </row>
    <row r="31" spans="1:19" ht="16.5">
      <c r="A31" s="176">
        <v>12</v>
      </c>
      <c r="B31" s="169" t="s">
        <v>364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306">
        <v>0</v>
      </c>
      <c r="N31" s="169"/>
      <c r="O31" s="169"/>
      <c r="P31" s="168"/>
      <c r="Q31" s="168"/>
      <c r="R31" s="171"/>
      <c r="S31" s="170"/>
    </row>
    <row r="32" spans="1:19" ht="16.5">
      <c r="A32" s="449">
        <v>13</v>
      </c>
      <c r="B32" s="169"/>
      <c r="C32" s="169"/>
      <c r="D32" s="169"/>
      <c r="E32" s="169"/>
      <c r="F32" s="169"/>
      <c r="G32" s="169"/>
      <c r="H32" s="181"/>
      <c r="I32" s="169"/>
      <c r="J32" s="169"/>
      <c r="K32" s="169"/>
      <c r="L32" s="169"/>
      <c r="M32" s="306"/>
      <c r="N32" s="169"/>
      <c r="O32" s="169"/>
      <c r="P32" s="168"/>
      <c r="Q32" s="168"/>
      <c r="R32" s="171"/>
      <c r="S32" s="170"/>
    </row>
    <row r="33" spans="1:19" ht="16.5">
      <c r="A33" s="449">
        <v>14</v>
      </c>
      <c r="B33" s="169" t="s">
        <v>365</v>
      </c>
      <c r="C33" s="169"/>
      <c r="D33" s="169"/>
      <c r="E33" s="169"/>
      <c r="F33" s="169"/>
      <c r="G33" s="169"/>
      <c r="H33" s="181"/>
      <c r="I33" s="210"/>
      <c r="J33" s="169"/>
      <c r="K33" s="169"/>
      <c r="L33" s="169"/>
      <c r="M33" s="314">
        <v>0</v>
      </c>
      <c r="N33" s="169"/>
      <c r="O33" s="169"/>
      <c r="P33" s="168"/>
      <c r="Q33" s="168"/>
      <c r="R33" s="171"/>
      <c r="S33" s="170"/>
    </row>
    <row r="34" spans="1:19" ht="16.5">
      <c r="A34" s="176">
        <v>15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8"/>
      <c r="Q34" s="168"/>
      <c r="R34" s="171"/>
      <c r="S34" s="170"/>
    </row>
    <row r="35" spans="1:19" ht="16.5">
      <c r="A35" s="449">
        <v>16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8"/>
      <c r="Q35" s="168"/>
      <c r="R35" s="171"/>
      <c r="S35" s="170"/>
    </row>
    <row r="36" spans="1:19" ht="16.5">
      <c r="A36" s="449">
        <v>17</v>
      </c>
      <c r="B36" s="169" t="s">
        <v>366</v>
      </c>
      <c r="C36" s="169"/>
      <c r="D36" s="169"/>
      <c r="E36" s="169"/>
      <c r="F36" s="169"/>
      <c r="G36" s="169"/>
      <c r="H36" s="169"/>
      <c r="J36" s="169"/>
      <c r="K36" s="169"/>
      <c r="L36" s="169"/>
      <c r="M36" s="303">
        <f>SUM(M21:M33)</f>
        <v>21605.067115426624</v>
      </c>
      <c r="N36" s="169"/>
      <c r="O36" s="169"/>
      <c r="P36" s="168"/>
      <c r="Q36" s="168"/>
      <c r="R36" s="171"/>
      <c r="S36" s="170"/>
    </row>
    <row r="37" spans="1:19" ht="16.5">
      <c r="A37" s="176">
        <v>18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8"/>
      <c r="Q37" s="168"/>
      <c r="R37" s="171"/>
      <c r="S37" s="170"/>
    </row>
    <row r="38" spans="1:19" ht="16.5">
      <c r="A38" s="449">
        <v>19</v>
      </c>
      <c r="B38" s="169" t="s">
        <v>384</v>
      </c>
      <c r="C38" s="169"/>
      <c r="D38" s="169"/>
      <c r="E38" s="169"/>
      <c r="F38" s="169"/>
      <c r="G38" s="169"/>
      <c r="H38" s="169"/>
      <c r="I38" s="210"/>
      <c r="J38" s="169"/>
      <c r="K38" s="169"/>
      <c r="L38" s="169"/>
      <c r="M38" s="484">
        <f>'D-1a'!I23</f>
        <v>0.9488237032684593</v>
      </c>
      <c r="N38" s="169"/>
      <c r="O38" s="169"/>
      <c r="P38" s="168"/>
      <c r="Q38" s="168"/>
      <c r="R38" s="171"/>
      <c r="S38" s="170"/>
    </row>
    <row r="39" spans="1:19" ht="16.5">
      <c r="A39" s="449">
        <v>20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8"/>
      <c r="Q39" s="168"/>
      <c r="R39" s="171"/>
      <c r="S39" s="170"/>
    </row>
    <row r="40" spans="1:19" ht="17.25" thickBot="1">
      <c r="A40" s="176">
        <v>21</v>
      </c>
      <c r="B40" s="169" t="s">
        <v>385</v>
      </c>
      <c r="C40" s="169"/>
      <c r="D40" s="169"/>
      <c r="E40" s="169"/>
      <c r="F40" s="169"/>
      <c r="G40" s="169"/>
      <c r="H40" s="169"/>
      <c r="I40" s="211"/>
      <c r="J40" s="169"/>
      <c r="K40" s="169"/>
      <c r="L40" s="169"/>
      <c r="M40" s="315">
        <f>+M38*M36</f>
        <v>20499.3997898227</v>
      </c>
      <c r="N40" s="169"/>
      <c r="O40" s="169"/>
      <c r="P40" s="168"/>
      <c r="Q40" s="168"/>
      <c r="R40" s="171"/>
      <c r="S40" s="170"/>
    </row>
    <row r="41" spans="1:19" ht="17.25" thickTop="1">
      <c r="A41" s="449">
        <v>22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8"/>
      <c r="Q41" s="168"/>
      <c r="R41" s="171"/>
      <c r="S41" s="170"/>
    </row>
    <row r="42" spans="1:19" ht="16.5">
      <c r="A42" s="449">
        <v>23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8"/>
      <c r="Q42" s="168"/>
      <c r="R42" s="171"/>
      <c r="S42" s="170"/>
    </row>
    <row r="43" spans="1:19" ht="16.5">
      <c r="A43" s="176">
        <v>24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8"/>
      <c r="Q43" s="168"/>
      <c r="R43" s="171"/>
      <c r="S43" s="170"/>
    </row>
    <row r="44" spans="1:19" ht="16.5">
      <c r="A44" s="449">
        <v>25</v>
      </c>
      <c r="B44" s="169" t="s">
        <v>248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8"/>
      <c r="Q44" s="168"/>
      <c r="R44" s="171"/>
      <c r="S44" s="170"/>
    </row>
    <row r="45" spans="1:19" ht="16.5">
      <c r="A45" s="449">
        <v>26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8"/>
      <c r="Q45" s="168"/>
      <c r="R45" s="171"/>
      <c r="S45" s="170"/>
    </row>
    <row r="46" spans="1:19" ht="16.5">
      <c r="A46" s="176">
        <v>27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8"/>
      <c r="Q46" s="168"/>
      <c r="R46" s="171"/>
      <c r="S46" s="170"/>
    </row>
    <row r="47" spans="1:19" ht="16.5">
      <c r="A47" s="449">
        <v>28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8"/>
      <c r="Q47" s="168"/>
      <c r="R47" s="171"/>
      <c r="S47" s="170"/>
    </row>
    <row r="48" spans="1:19" ht="16.5">
      <c r="A48" s="449">
        <v>29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8"/>
      <c r="Q48" s="168"/>
      <c r="R48" s="171"/>
      <c r="S48" s="170"/>
    </row>
    <row r="49" spans="1:19" ht="16.5">
      <c r="A49" s="176">
        <v>30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8"/>
      <c r="Q49" s="168"/>
      <c r="R49" s="171"/>
      <c r="S49" s="170"/>
    </row>
    <row r="50" spans="1:19" ht="17.25" thickBo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71"/>
      <c r="S50" s="170"/>
    </row>
    <row r="51" spans="1:19" ht="16.5">
      <c r="A51" s="174" t="s">
        <v>13</v>
      </c>
      <c r="B51" s="174"/>
      <c r="C51" s="174" t="s">
        <v>367</v>
      </c>
      <c r="D51" s="180" t="s">
        <v>79</v>
      </c>
      <c r="E51" s="180"/>
      <c r="F51" s="180"/>
      <c r="G51" s="180"/>
      <c r="H51" s="180"/>
      <c r="I51" s="180"/>
      <c r="J51" s="180"/>
      <c r="K51" s="180"/>
      <c r="L51" s="174" t="s">
        <v>14</v>
      </c>
      <c r="M51" s="174"/>
      <c r="N51" s="180" t="s">
        <v>389</v>
      </c>
      <c r="O51" s="180"/>
      <c r="P51" s="174"/>
      <c r="Q51" s="174"/>
      <c r="R51" s="171"/>
      <c r="S51" s="170"/>
    </row>
    <row r="52" spans="1:18" ht="16.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71"/>
    </row>
  </sheetData>
  <sheetProtection/>
  <printOptions horizontalCentered="1"/>
  <pageMargins left="0.5" right="0.5" top="0.75" bottom="0.25" header="0" footer="0"/>
  <pageSetup horizontalDpi="600" verticalDpi="600" orientation="landscape" scale="45" r:id="rId1"/>
  <ignoredErrors>
    <ignoredError sqref="I15:M15" numberStoredAsText="1"/>
    <ignoredError sqref="M38:M40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58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12.4453125" defaultRowHeight="15"/>
  <cols>
    <col min="1" max="17" width="12.4453125" style="1" customWidth="1"/>
    <col min="18" max="18" width="12.4453125" style="64" customWidth="1"/>
    <col min="19" max="16384" width="12.4453125" style="1" customWidth="1"/>
  </cols>
  <sheetData>
    <row r="1" spans="1:18" s="616" customFormat="1" ht="15">
      <c r="A1" s="616" t="s">
        <v>585</v>
      </c>
      <c r="R1" s="617"/>
    </row>
    <row r="2" spans="1:18" s="616" customFormat="1" ht="15">
      <c r="A2" s="616" t="s">
        <v>571</v>
      </c>
      <c r="R2" s="617"/>
    </row>
    <row r="3" s="616" customFormat="1" ht="15">
      <c r="R3" s="617"/>
    </row>
    <row r="4" spans="1:18" ht="16.5">
      <c r="A4" s="16" t="s">
        <v>12</v>
      </c>
      <c r="B4" s="17"/>
      <c r="C4" s="16"/>
      <c r="D4" s="16"/>
      <c r="E4" s="17"/>
      <c r="F4" s="17"/>
      <c r="G4" s="17"/>
      <c r="H4" s="17" t="s">
        <v>116</v>
      </c>
      <c r="I4" s="17"/>
      <c r="J4" s="17"/>
      <c r="K4" s="17"/>
      <c r="L4" s="16"/>
      <c r="M4" s="16"/>
      <c r="N4" s="16"/>
      <c r="O4" s="54"/>
      <c r="P4" s="16" t="s">
        <v>19</v>
      </c>
      <c r="R4" s="42"/>
    </row>
    <row r="5" spans="1:18" ht="16.5">
      <c r="A5" s="119" t="str">
        <f>+'A-1'!A5</f>
        <v>2019 Okeechobee Limited Scope Adjustment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42"/>
    </row>
    <row r="6" spans="1:18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42"/>
    </row>
    <row r="7" spans="1:18" ht="16.5">
      <c r="A7" s="16" t="s">
        <v>2</v>
      </c>
      <c r="B7" s="16"/>
      <c r="C7" s="16"/>
      <c r="D7" s="16"/>
      <c r="E7" s="16" t="s">
        <v>183</v>
      </c>
      <c r="F7" s="16"/>
      <c r="G7" s="17" t="s">
        <v>184</v>
      </c>
      <c r="H7" s="17"/>
      <c r="I7" s="17"/>
      <c r="J7" s="17"/>
      <c r="K7" s="17"/>
      <c r="L7" s="16"/>
      <c r="M7" s="16"/>
      <c r="N7" s="16" t="s">
        <v>5</v>
      </c>
      <c r="P7" s="16"/>
      <c r="Q7" s="16"/>
      <c r="R7" s="42"/>
    </row>
    <row r="8" spans="1:18" ht="16.5">
      <c r="A8" s="16"/>
      <c r="B8" s="16"/>
      <c r="C8" s="16"/>
      <c r="D8" s="16"/>
      <c r="F8" s="17"/>
      <c r="G8" s="258" t="s">
        <v>497</v>
      </c>
      <c r="H8" s="17"/>
      <c r="I8" s="17"/>
      <c r="J8" s="17"/>
      <c r="K8" s="17"/>
      <c r="L8" s="16"/>
      <c r="M8" s="16"/>
      <c r="P8" s="16"/>
      <c r="Q8" s="16"/>
      <c r="R8" s="42"/>
    </row>
    <row r="9" spans="1:18" ht="16.5">
      <c r="A9" s="16" t="s">
        <v>127</v>
      </c>
      <c r="B9" s="16"/>
      <c r="C9" s="16"/>
      <c r="D9" s="16"/>
      <c r="E9" s="17"/>
      <c r="F9" s="17"/>
      <c r="G9" s="17"/>
      <c r="H9" s="17"/>
      <c r="I9" s="17"/>
      <c r="J9" s="17"/>
      <c r="K9" s="17"/>
      <c r="L9" s="16"/>
      <c r="M9" s="16"/>
      <c r="N9" s="141" t="s">
        <v>444</v>
      </c>
      <c r="P9" s="16"/>
      <c r="Q9" s="16"/>
      <c r="R9" s="42"/>
    </row>
    <row r="10" spans="1:18" ht="17.25">
      <c r="A10" s="16"/>
      <c r="B10" s="16"/>
      <c r="C10" s="16"/>
      <c r="D10" s="16"/>
      <c r="E10" s="615"/>
      <c r="F10" s="615"/>
      <c r="G10" s="615"/>
      <c r="H10" s="17"/>
      <c r="I10" s="17"/>
      <c r="J10" s="17"/>
      <c r="K10" s="17"/>
      <c r="L10" s="16"/>
      <c r="M10" s="16"/>
      <c r="N10" s="16"/>
      <c r="P10" s="16"/>
      <c r="Q10" s="16"/>
      <c r="R10" s="42"/>
    </row>
    <row r="11" spans="1:18" ht="16.5">
      <c r="A11" s="16" t="str">
        <f>+'A-1'!A12</f>
        <v>DOCKET NO.: 160021-EI</v>
      </c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6"/>
      <c r="M11" s="16"/>
      <c r="N11" s="16" t="s">
        <v>185</v>
      </c>
      <c r="P11" s="16"/>
      <c r="Q11" s="16"/>
      <c r="R11" s="42"/>
    </row>
    <row r="12" spans="1:18" ht="16.5">
      <c r="A12" s="16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42"/>
    </row>
    <row r="13" spans="1:18" ht="16.5">
      <c r="A13" s="16"/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6"/>
      <c r="M13" s="16"/>
      <c r="N13" s="16"/>
      <c r="O13" s="16"/>
      <c r="P13" s="16"/>
      <c r="Q13" s="16"/>
      <c r="R13" s="42"/>
    </row>
    <row r="14" spans="1:18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2"/>
    </row>
    <row r="15" spans="1:18" ht="16.5">
      <c r="A15" s="25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56" t="s">
        <v>21</v>
      </c>
      <c r="L15" s="57"/>
      <c r="M15" s="56"/>
      <c r="N15" s="17"/>
      <c r="O15" s="17"/>
      <c r="P15" s="16"/>
      <c r="Q15" s="16"/>
      <c r="R15" s="42"/>
    </row>
    <row r="16" spans="1:18" ht="16.5">
      <c r="A16" s="25" t="s">
        <v>48</v>
      </c>
      <c r="B16" s="17" t="s">
        <v>8</v>
      </c>
      <c r="D16" s="17"/>
      <c r="E16" s="17"/>
      <c r="F16" s="17"/>
      <c r="G16" s="17"/>
      <c r="H16" s="17"/>
      <c r="I16" s="17"/>
      <c r="J16" s="17"/>
      <c r="K16" s="58" t="s">
        <v>186</v>
      </c>
      <c r="L16" s="57"/>
      <c r="M16" s="59"/>
      <c r="N16" s="17"/>
      <c r="O16" s="17"/>
      <c r="P16" s="16"/>
      <c r="Q16" s="16"/>
      <c r="R16" s="42"/>
    </row>
    <row r="17" spans="1:18" ht="16.5">
      <c r="A17" s="27"/>
      <c r="B17" s="17"/>
      <c r="C17" s="17"/>
      <c r="D17" s="17"/>
      <c r="E17" s="17"/>
      <c r="F17" s="17"/>
      <c r="G17" s="17"/>
      <c r="H17" s="17"/>
      <c r="I17" s="17"/>
      <c r="J17" s="17"/>
      <c r="K17" s="57"/>
      <c r="L17" s="57"/>
      <c r="M17" s="57"/>
      <c r="N17" s="17"/>
      <c r="O17" s="17"/>
      <c r="P17" s="16"/>
      <c r="Q17" s="16"/>
      <c r="R17" s="42"/>
    </row>
    <row r="18" spans="1:18" ht="16.5">
      <c r="A18" s="80"/>
      <c r="B18" s="35"/>
      <c r="C18" s="35"/>
      <c r="D18" s="35"/>
      <c r="E18" s="35"/>
      <c r="F18" s="35"/>
      <c r="G18" s="35"/>
      <c r="H18" s="35"/>
      <c r="I18" s="35"/>
      <c r="J18" s="35"/>
      <c r="K18" s="60"/>
      <c r="L18" s="60"/>
      <c r="M18" s="60"/>
      <c r="N18" s="35"/>
      <c r="O18" s="35"/>
      <c r="P18" s="24"/>
      <c r="Q18" s="24"/>
      <c r="R18" s="42"/>
    </row>
    <row r="19" spans="1:18" ht="16.5">
      <c r="A19" s="25" t="s">
        <v>187</v>
      </c>
      <c r="B19" s="17" t="s">
        <v>188</v>
      </c>
      <c r="C19" s="17"/>
      <c r="D19" s="17"/>
      <c r="E19" s="17"/>
      <c r="F19" s="17"/>
      <c r="G19" s="17"/>
      <c r="H19" s="17"/>
      <c r="I19" s="17"/>
      <c r="J19" s="17"/>
      <c r="K19" s="485">
        <v>1</v>
      </c>
      <c r="L19" s="57"/>
      <c r="M19" s="52"/>
      <c r="N19" s="17"/>
      <c r="O19" s="17"/>
      <c r="P19" s="16"/>
      <c r="Q19" s="16"/>
      <c r="R19" s="42"/>
    </row>
    <row r="20" spans="1:18" ht="16.5">
      <c r="A20" s="25"/>
      <c r="B20" s="17"/>
      <c r="C20" s="17"/>
      <c r="D20" s="17"/>
      <c r="E20" s="17"/>
      <c r="F20" s="17"/>
      <c r="G20" s="17"/>
      <c r="H20" s="17"/>
      <c r="I20" s="17"/>
      <c r="J20" s="17"/>
      <c r="K20" s="485"/>
      <c r="L20" s="57"/>
      <c r="M20" s="57"/>
      <c r="N20" s="17"/>
      <c r="O20" s="17"/>
      <c r="P20" s="16"/>
      <c r="Q20" s="16"/>
      <c r="R20" s="42"/>
    </row>
    <row r="21" spans="1:18" ht="16.5">
      <c r="A21" s="25" t="s">
        <v>189</v>
      </c>
      <c r="B21" s="17" t="s">
        <v>190</v>
      </c>
      <c r="C21" s="17"/>
      <c r="D21" s="17"/>
      <c r="E21" s="17"/>
      <c r="F21" s="17"/>
      <c r="G21" s="17"/>
      <c r="H21" s="17"/>
      <c r="I21" s="17"/>
      <c r="J21" s="17"/>
      <c r="K21" s="485">
        <v>0</v>
      </c>
      <c r="L21" s="57"/>
      <c r="M21" s="52"/>
      <c r="N21" s="17"/>
      <c r="O21" s="17"/>
      <c r="P21" s="16"/>
      <c r="Q21" s="16"/>
      <c r="R21" s="42"/>
    </row>
    <row r="22" spans="1:18" ht="16.5">
      <c r="A22" s="25"/>
      <c r="B22" s="17"/>
      <c r="C22" s="17"/>
      <c r="D22" s="17"/>
      <c r="E22" s="17"/>
      <c r="F22" s="17"/>
      <c r="G22" s="17"/>
      <c r="H22" s="17"/>
      <c r="I22" s="17"/>
      <c r="J22" s="17"/>
      <c r="K22" s="485"/>
      <c r="L22" s="57"/>
      <c r="M22" s="57"/>
      <c r="N22" s="17"/>
      <c r="O22" s="17"/>
      <c r="P22" s="16"/>
      <c r="Q22" s="16"/>
      <c r="R22" s="42"/>
    </row>
    <row r="23" spans="1:18" ht="16.5">
      <c r="A23" s="25" t="s">
        <v>191</v>
      </c>
      <c r="B23" s="17" t="s">
        <v>192</v>
      </c>
      <c r="C23" s="17"/>
      <c r="D23" s="17"/>
      <c r="E23" s="17"/>
      <c r="F23" s="17"/>
      <c r="G23" s="17"/>
      <c r="H23" s="17"/>
      <c r="I23" s="17"/>
      <c r="J23" s="17"/>
      <c r="K23" s="485">
        <v>0.00072</v>
      </c>
      <c r="L23" s="57"/>
      <c r="M23" s="62"/>
      <c r="N23" s="17"/>
      <c r="O23" s="17"/>
      <c r="P23" s="16"/>
      <c r="Q23" s="16"/>
      <c r="R23" s="42"/>
    </row>
    <row r="24" spans="1:18" ht="16.5">
      <c r="A24" s="25"/>
      <c r="B24" s="17"/>
      <c r="C24" s="17"/>
      <c r="D24" s="17"/>
      <c r="E24" s="17"/>
      <c r="F24" s="17"/>
      <c r="G24" s="17"/>
      <c r="H24" s="17"/>
      <c r="I24" s="17"/>
      <c r="J24" s="17"/>
      <c r="K24" s="485"/>
      <c r="L24" s="57"/>
      <c r="M24" s="114"/>
      <c r="N24" s="17"/>
      <c r="O24" s="17"/>
      <c r="P24" s="16"/>
      <c r="Q24" s="16"/>
      <c r="R24" s="42"/>
    </row>
    <row r="25" spans="1:18" ht="16.5">
      <c r="A25" s="25" t="s">
        <v>193</v>
      </c>
      <c r="B25" s="17" t="s">
        <v>194</v>
      </c>
      <c r="C25" s="17"/>
      <c r="D25" s="17"/>
      <c r="E25" s="17"/>
      <c r="F25" s="17"/>
      <c r="G25" s="17"/>
      <c r="H25" s="17"/>
      <c r="I25" s="17"/>
      <c r="J25" s="17"/>
      <c r="K25" s="485">
        <v>0.0006545623389</v>
      </c>
      <c r="L25" s="57"/>
      <c r="M25" s="62"/>
      <c r="N25" s="17"/>
      <c r="O25" s="17"/>
      <c r="P25" s="16"/>
      <c r="Q25" s="16"/>
      <c r="R25" s="42"/>
    </row>
    <row r="26" spans="1:18" ht="16.5">
      <c r="A26" s="27"/>
      <c r="B26" s="17"/>
      <c r="C26" s="17"/>
      <c r="D26" s="17"/>
      <c r="E26" s="17"/>
      <c r="F26" s="17"/>
      <c r="G26" s="17"/>
      <c r="H26" s="17"/>
      <c r="I26" s="17"/>
      <c r="J26" s="17"/>
      <c r="K26" s="485"/>
      <c r="L26" s="57"/>
      <c r="M26" s="114"/>
      <c r="N26" s="17"/>
      <c r="O26" s="17"/>
      <c r="P26" s="16"/>
      <c r="Q26" s="16"/>
      <c r="R26" s="42"/>
    </row>
    <row r="27" spans="1:18" ht="16.5">
      <c r="A27" s="25" t="s">
        <v>195</v>
      </c>
      <c r="B27" s="17" t="s">
        <v>196</v>
      </c>
      <c r="C27" s="17"/>
      <c r="D27" s="17"/>
      <c r="E27" s="17"/>
      <c r="F27" s="17"/>
      <c r="G27" s="17"/>
      <c r="H27" s="17"/>
      <c r="I27" s="17"/>
      <c r="J27" s="53"/>
      <c r="K27" s="486">
        <f>K19-K21-K23-K25</f>
        <v>0.9986254376610999</v>
      </c>
      <c r="L27" s="57"/>
      <c r="M27" s="51"/>
      <c r="N27" s="17"/>
      <c r="O27" s="17"/>
      <c r="P27" s="16"/>
      <c r="Q27" s="16"/>
      <c r="R27" s="42"/>
    </row>
    <row r="28" spans="1:18" ht="16.5">
      <c r="A28" s="25"/>
      <c r="B28" s="17" t="s">
        <v>197</v>
      </c>
      <c r="C28" s="17"/>
      <c r="D28" s="17"/>
      <c r="E28" s="17"/>
      <c r="F28" s="17"/>
      <c r="G28" s="17"/>
      <c r="H28" s="17"/>
      <c r="I28" s="17"/>
      <c r="J28" s="17"/>
      <c r="K28" s="485"/>
      <c r="L28" s="57"/>
      <c r="M28" s="114"/>
      <c r="N28" s="17"/>
      <c r="O28" s="17"/>
      <c r="P28" s="16"/>
      <c r="Q28" s="16"/>
      <c r="R28" s="42"/>
    </row>
    <row r="29" spans="1:18" ht="16.5">
      <c r="A29" s="25"/>
      <c r="B29" s="17"/>
      <c r="C29" s="17"/>
      <c r="D29" s="17"/>
      <c r="E29" s="17"/>
      <c r="F29" s="17"/>
      <c r="G29" s="17"/>
      <c r="H29" s="17"/>
      <c r="I29" s="17"/>
      <c r="J29" s="17"/>
      <c r="K29" s="309"/>
      <c r="L29" s="57"/>
      <c r="M29" s="114"/>
      <c r="N29" s="17"/>
      <c r="O29" s="17"/>
      <c r="P29" s="16"/>
      <c r="Q29" s="16"/>
      <c r="R29" s="42"/>
    </row>
    <row r="30" spans="1:18" ht="16.5">
      <c r="A30" s="25" t="s">
        <v>198</v>
      </c>
      <c r="B30" s="17" t="s">
        <v>199</v>
      </c>
      <c r="C30" s="17"/>
      <c r="D30" s="17"/>
      <c r="E30" s="17"/>
      <c r="F30" s="17"/>
      <c r="G30" s="17"/>
      <c r="H30" s="17"/>
      <c r="I30" s="17"/>
      <c r="J30" s="17"/>
      <c r="K30" s="485">
        <v>0.055</v>
      </c>
      <c r="L30" s="57"/>
      <c r="M30" s="62"/>
      <c r="N30" s="17"/>
      <c r="O30" s="17"/>
      <c r="P30" s="16"/>
      <c r="Q30" s="16"/>
      <c r="R30" s="42"/>
    </row>
    <row r="31" spans="1:18" ht="16.5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485"/>
      <c r="L31" s="57"/>
      <c r="M31" s="114"/>
      <c r="N31" s="17"/>
      <c r="O31" s="17"/>
      <c r="P31" s="16"/>
      <c r="Q31" s="16"/>
      <c r="R31" s="42"/>
    </row>
    <row r="32" spans="1:18" ht="16.5">
      <c r="A32" s="25" t="s">
        <v>200</v>
      </c>
      <c r="B32" s="17" t="s">
        <v>201</v>
      </c>
      <c r="C32" s="17"/>
      <c r="D32" s="17"/>
      <c r="E32" s="17"/>
      <c r="F32" s="17"/>
      <c r="G32" s="17"/>
      <c r="H32" s="17"/>
      <c r="I32" s="17"/>
      <c r="J32" s="17"/>
      <c r="K32" s="486">
        <f>K27*K30</f>
        <v>0.05492439907136049</v>
      </c>
      <c r="L32" s="57"/>
      <c r="M32" s="51"/>
      <c r="N32" s="17"/>
      <c r="O32" s="17"/>
      <c r="P32" s="16"/>
      <c r="Q32" s="16"/>
      <c r="R32" s="42"/>
    </row>
    <row r="33" spans="1:18" ht="16.5">
      <c r="A33" s="25"/>
      <c r="B33" s="17"/>
      <c r="C33" s="17"/>
      <c r="D33" s="17"/>
      <c r="E33" s="17"/>
      <c r="F33" s="17"/>
      <c r="G33" s="17"/>
      <c r="H33" s="17"/>
      <c r="I33" s="17"/>
      <c r="J33" s="17"/>
      <c r="K33" s="485"/>
      <c r="L33" s="57"/>
      <c r="M33" s="114"/>
      <c r="N33" s="17"/>
      <c r="O33" s="17"/>
      <c r="P33" s="16"/>
      <c r="Q33" s="16"/>
      <c r="R33" s="42"/>
    </row>
    <row r="34" spans="1:18" ht="16.5">
      <c r="A34" s="25" t="s">
        <v>202</v>
      </c>
      <c r="B34" s="17" t="s">
        <v>203</v>
      </c>
      <c r="C34" s="17"/>
      <c r="D34" s="17"/>
      <c r="E34" s="17"/>
      <c r="F34" s="17"/>
      <c r="G34" s="17"/>
      <c r="H34" s="17"/>
      <c r="I34" s="17"/>
      <c r="J34" s="17"/>
      <c r="K34" s="486">
        <f>K27-K32</f>
        <v>0.9437010385897394</v>
      </c>
      <c r="L34" s="57"/>
      <c r="M34" s="51"/>
      <c r="N34" s="17"/>
      <c r="O34" s="17"/>
      <c r="P34" s="16"/>
      <c r="Q34" s="16"/>
      <c r="R34" s="42"/>
    </row>
    <row r="35" spans="1:18" ht="16.5">
      <c r="A35" s="25"/>
      <c r="B35" s="17"/>
      <c r="C35" s="17"/>
      <c r="D35" s="17"/>
      <c r="E35" s="17"/>
      <c r="F35" s="17"/>
      <c r="G35" s="17"/>
      <c r="H35" s="17"/>
      <c r="I35" s="17"/>
      <c r="J35" s="17"/>
      <c r="K35" s="487"/>
      <c r="L35" s="57"/>
      <c r="M35" s="114"/>
      <c r="N35" s="17"/>
      <c r="O35" s="17"/>
      <c r="P35" s="16"/>
      <c r="Q35" s="16"/>
      <c r="R35" s="42"/>
    </row>
    <row r="36" spans="1:18" ht="16.5">
      <c r="A36" s="25" t="s">
        <v>204</v>
      </c>
      <c r="B36" s="17" t="s">
        <v>205</v>
      </c>
      <c r="C36" s="17"/>
      <c r="D36" s="17"/>
      <c r="E36" s="17"/>
      <c r="F36" s="17"/>
      <c r="G36" s="17"/>
      <c r="H36" s="17"/>
      <c r="I36" s="17"/>
      <c r="J36" s="17"/>
      <c r="K36" s="485">
        <v>0.35</v>
      </c>
      <c r="L36" s="57"/>
      <c r="M36" s="62"/>
      <c r="N36" s="17"/>
      <c r="O36" s="17"/>
      <c r="P36" s="16"/>
      <c r="Q36" s="16"/>
      <c r="R36" s="42"/>
    </row>
    <row r="37" spans="1:18" ht="16.5">
      <c r="A37" s="25"/>
      <c r="B37" s="17"/>
      <c r="C37" s="17"/>
      <c r="D37" s="17"/>
      <c r="E37" s="17"/>
      <c r="F37" s="17"/>
      <c r="G37" s="17"/>
      <c r="H37" s="17"/>
      <c r="I37" s="17"/>
      <c r="J37" s="17"/>
      <c r="K37" s="485"/>
      <c r="L37" s="57"/>
      <c r="M37" s="114"/>
      <c r="N37" s="17"/>
      <c r="O37" s="17"/>
      <c r="P37" s="16"/>
      <c r="Q37" s="16"/>
      <c r="R37" s="42"/>
    </row>
    <row r="38" spans="1:18" ht="16.5">
      <c r="A38" s="25" t="s">
        <v>206</v>
      </c>
      <c r="B38" s="17" t="s">
        <v>207</v>
      </c>
      <c r="C38" s="17"/>
      <c r="D38" s="17"/>
      <c r="E38" s="17"/>
      <c r="F38" s="17"/>
      <c r="G38" s="17"/>
      <c r="H38" s="17"/>
      <c r="I38" s="17"/>
      <c r="J38" s="17"/>
      <c r="K38" s="486">
        <f>K34*K36</f>
        <v>0.33029536350640876</v>
      </c>
      <c r="L38" s="57"/>
      <c r="M38" s="51"/>
      <c r="N38" s="17"/>
      <c r="O38" s="17"/>
      <c r="P38" s="16"/>
      <c r="Q38" s="16"/>
      <c r="R38" s="42"/>
    </row>
    <row r="39" spans="1:18" ht="16.5">
      <c r="A39" s="25"/>
      <c r="B39" s="17"/>
      <c r="C39" s="17"/>
      <c r="D39" s="17"/>
      <c r="E39" s="17"/>
      <c r="F39" s="17"/>
      <c r="G39" s="17"/>
      <c r="H39" s="17"/>
      <c r="I39" s="17"/>
      <c r="J39" s="17"/>
      <c r="K39" s="485"/>
      <c r="L39" s="57"/>
      <c r="M39" s="114"/>
      <c r="N39" s="17"/>
      <c r="O39" s="17"/>
      <c r="P39" s="16"/>
      <c r="Q39" s="16"/>
      <c r="R39" s="42"/>
    </row>
    <row r="40" spans="1:18" ht="16.5">
      <c r="A40" s="25" t="s">
        <v>208</v>
      </c>
      <c r="B40" s="17" t="s">
        <v>209</v>
      </c>
      <c r="C40" s="17"/>
      <c r="D40" s="17"/>
      <c r="E40" s="17"/>
      <c r="F40" s="17"/>
      <c r="G40" s="17"/>
      <c r="H40" s="17"/>
      <c r="I40" s="17"/>
      <c r="J40" s="17"/>
      <c r="K40" s="486">
        <f>K34-K38</f>
        <v>0.6134056750833307</v>
      </c>
      <c r="L40" s="57"/>
      <c r="M40" s="51"/>
      <c r="N40" s="17"/>
      <c r="O40" s="17"/>
      <c r="P40" s="16"/>
      <c r="Q40" s="16"/>
      <c r="R40" s="42"/>
    </row>
    <row r="41" spans="1:18" ht="16.5">
      <c r="A41" s="25"/>
      <c r="B41" s="17"/>
      <c r="C41" s="17"/>
      <c r="D41" s="17"/>
      <c r="E41" s="17"/>
      <c r="F41" s="17"/>
      <c r="G41" s="17"/>
      <c r="H41" s="17"/>
      <c r="I41" s="17"/>
      <c r="J41" s="17"/>
      <c r="K41" s="485"/>
      <c r="L41" s="57"/>
      <c r="M41" s="114"/>
      <c r="N41" s="17"/>
      <c r="O41" s="17"/>
      <c r="P41" s="16"/>
      <c r="Q41" s="16"/>
      <c r="R41" s="42"/>
    </row>
    <row r="42" spans="1:18" ht="16.5">
      <c r="A42" s="25" t="s">
        <v>210</v>
      </c>
      <c r="B42" s="17" t="s">
        <v>211</v>
      </c>
      <c r="C42" s="17"/>
      <c r="D42" s="17"/>
      <c r="E42" s="17"/>
      <c r="F42" s="17"/>
      <c r="G42" s="17"/>
      <c r="H42" s="17"/>
      <c r="I42" s="17"/>
      <c r="J42" s="17"/>
      <c r="K42" s="486">
        <f>1/K40</f>
        <v>1.6302424979425743</v>
      </c>
      <c r="L42" s="57"/>
      <c r="M42" s="51"/>
      <c r="N42" s="17"/>
      <c r="O42" s="17"/>
      <c r="P42" s="16"/>
      <c r="Q42" s="16"/>
      <c r="R42" s="42"/>
    </row>
    <row r="43" spans="1:18" ht="16.5">
      <c r="A43" s="17"/>
      <c r="B43" s="17" t="s">
        <v>212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39"/>
      <c r="N43" s="17"/>
      <c r="O43" s="17"/>
      <c r="P43" s="16"/>
      <c r="Q43" s="16"/>
      <c r="R43" s="42"/>
    </row>
    <row r="44" spans="1:18" ht="16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39"/>
      <c r="N44" s="17"/>
      <c r="O44" s="17"/>
      <c r="P44" s="16"/>
      <c r="Q44" s="16"/>
      <c r="R44" s="42"/>
    </row>
    <row r="45" spans="1:18" ht="16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39"/>
      <c r="N45" s="17"/>
      <c r="O45" s="17"/>
      <c r="P45" s="16"/>
      <c r="Q45" s="16"/>
      <c r="R45" s="42"/>
    </row>
    <row r="46" spans="2:18" ht="16.5">
      <c r="B46" s="47"/>
      <c r="C46" s="47"/>
      <c r="D46" s="4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6"/>
      <c r="Q46" s="16"/>
      <c r="R46" s="42"/>
    </row>
    <row r="47" spans="1:18" ht="16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6"/>
      <c r="Q47" s="16"/>
      <c r="R47" s="42"/>
    </row>
    <row r="48" spans="1:18" ht="16.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6"/>
      <c r="Q48" s="16"/>
      <c r="R48" s="42"/>
    </row>
    <row r="49" spans="1:18" ht="16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6"/>
      <c r="Q49" s="16"/>
      <c r="R49" s="42"/>
    </row>
    <row r="50" spans="1:18" ht="16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6"/>
      <c r="Q50" s="16"/>
      <c r="R50" s="42"/>
    </row>
    <row r="51" spans="1:18" ht="16.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6"/>
      <c r="Q51" s="16"/>
      <c r="R51" s="42"/>
    </row>
    <row r="52" spans="1:18" ht="16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42"/>
    </row>
    <row r="53" spans="1:18" ht="16.5">
      <c r="A53" s="24" t="s">
        <v>13</v>
      </c>
      <c r="B53" s="24"/>
      <c r="C53" s="24"/>
      <c r="D53" s="35" t="s">
        <v>79</v>
      </c>
      <c r="E53" s="35"/>
      <c r="F53" s="35"/>
      <c r="G53" s="35"/>
      <c r="H53" s="35"/>
      <c r="I53" s="35"/>
      <c r="J53" s="35"/>
      <c r="K53" s="35"/>
      <c r="L53" s="24" t="s">
        <v>14</v>
      </c>
      <c r="M53" s="24"/>
      <c r="N53" s="35" t="s">
        <v>1</v>
      </c>
      <c r="O53" s="35"/>
      <c r="P53" s="24"/>
      <c r="Q53" s="24"/>
      <c r="R53" s="42"/>
    </row>
    <row r="54" spans="1:18" ht="409.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63"/>
    </row>
    <row r="58" ht="16.5">
      <c r="A58" s="227" t="s">
        <v>521</v>
      </c>
    </row>
  </sheetData>
  <sheetProtection/>
  <mergeCells count="1">
    <mergeCell ref="E10:G10"/>
  </mergeCells>
  <printOptions horizontalCentered="1"/>
  <pageMargins left="0.5" right="0.5" top="0.75" bottom="0.25" header="0" footer="0"/>
  <pageSetup horizontalDpi="600" verticalDpi="600" orientation="landscape" scale="50" r:id="rId1"/>
  <ignoredErrors>
    <ignoredError sqref="K27:K42" unlockedFormula="1"/>
    <ignoredError sqref="K15 A19:A4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W57"/>
  <sheetViews>
    <sheetView showOutlineSymbols="0" zoomScale="75" zoomScaleNormal="75" zoomScalePageLayoutView="0" workbookViewId="0" topLeftCell="A1">
      <selection activeCell="A2" sqref="A2"/>
    </sheetView>
  </sheetViews>
  <sheetFormatPr defaultColWidth="9.6640625" defaultRowHeight="15"/>
  <cols>
    <col min="1" max="1" width="8.6640625" style="1" customWidth="1"/>
    <col min="2" max="2" width="21.21484375" style="1" customWidth="1"/>
    <col min="3" max="3" width="3.6640625" style="1" customWidth="1"/>
    <col min="4" max="4" width="15.6640625" style="1" customWidth="1"/>
    <col min="5" max="5" width="16.6640625" style="1" customWidth="1"/>
    <col min="6" max="7" width="12.6640625" style="1" customWidth="1"/>
    <col min="8" max="8" width="3.88671875" style="1" customWidth="1"/>
    <col min="9" max="9" width="14.6640625" style="1" customWidth="1"/>
    <col min="10" max="10" width="4.99609375" style="1" customWidth="1"/>
    <col min="11" max="11" width="14.77734375" style="1" customWidth="1"/>
    <col min="12" max="12" width="13.6640625" style="1" customWidth="1"/>
    <col min="13" max="13" width="10.6640625" style="1" customWidth="1"/>
    <col min="14" max="15" width="9.6640625" style="0" customWidth="1"/>
    <col min="16" max="16" width="23.21484375" style="0" bestFit="1" customWidth="1"/>
    <col min="17" max="17" width="11.3359375" style="0" bestFit="1" customWidth="1"/>
  </cols>
  <sheetData>
    <row r="1" spans="1:13" s="240" customFormat="1" ht="15">
      <c r="A1" s="616" t="s">
        <v>586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</row>
    <row r="2" spans="1:13" s="240" customFormat="1" ht="15">
      <c r="A2" s="616" t="s">
        <v>571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</row>
    <row r="3" spans="1:13" s="240" customFormat="1" ht="15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</row>
    <row r="4" spans="1:14" ht="16.5">
      <c r="A4" s="16" t="s">
        <v>94</v>
      </c>
      <c r="B4" s="17"/>
      <c r="C4" s="16"/>
      <c r="D4" s="16"/>
      <c r="E4" s="17"/>
      <c r="F4" s="17" t="s">
        <v>95</v>
      </c>
      <c r="G4" s="17"/>
      <c r="H4" s="17"/>
      <c r="I4" s="17"/>
      <c r="J4" s="16"/>
      <c r="K4" s="16"/>
      <c r="N4" s="16" t="s">
        <v>213</v>
      </c>
    </row>
    <row r="5" spans="1:15" ht="17.25" thickBot="1">
      <c r="A5" s="119" t="str">
        <f>+'A-1'!A5</f>
        <v>2019 Okeechobee Limited Scope Adjustment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65"/>
    </row>
    <row r="6" spans="1:15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66"/>
    </row>
    <row r="7" spans="1:13" ht="16.5">
      <c r="A7" s="16" t="s">
        <v>2</v>
      </c>
      <c r="B7" s="16"/>
      <c r="C7" s="16"/>
      <c r="D7" s="16"/>
      <c r="E7" s="67" t="s">
        <v>61</v>
      </c>
      <c r="F7" s="17" t="s">
        <v>96</v>
      </c>
      <c r="G7" s="17"/>
      <c r="H7" s="17"/>
      <c r="I7" s="17"/>
      <c r="J7" s="16"/>
      <c r="K7" s="16" t="s">
        <v>5</v>
      </c>
      <c r="L7" s="16"/>
      <c r="M7" s="16"/>
    </row>
    <row r="8" spans="1:13" ht="16.5">
      <c r="A8" s="16"/>
      <c r="B8" s="16"/>
      <c r="C8" s="16"/>
      <c r="D8" s="16"/>
      <c r="E8" s="16"/>
      <c r="F8" s="258" t="s">
        <v>501</v>
      </c>
      <c r="G8" s="17"/>
      <c r="H8" s="17"/>
      <c r="I8" s="17"/>
      <c r="J8" s="16"/>
      <c r="K8" s="16"/>
      <c r="L8" s="16"/>
      <c r="M8" s="16"/>
    </row>
    <row r="9" spans="1:13" ht="16.5">
      <c r="A9" s="16" t="s">
        <v>127</v>
      </c>
      <c r="B9" s="16"/>
      <c r="C9" s="16"/>
      <c r="D9" s="16"/>
      <c r="E9" s="17"/>
      <c r="F9" s="17"/>
      <c r="G9" s="17"/>
      <c r="H9" s="17"/>
      <c r="I9" s="17"/>
      <c r="J9" s="16"/>
      <c r="K9" s="141" t="s">
        <v>444</v>
      </c>
      <c r="L9" s="16"/>
      <c r="M9" s="16"/>
    </row>
    <row r="10" spans="1:13" ht="16.5">
      <c r="A10" s="16"/>
      <c r="B10" s="16"/>
      <c r="C10" s="16"/>
      <c r="D10" s="16"/>
      <c r="E10" s="17"/>
      <c r="G10" s="17"/>
      <c r="H10" s="17"/>
      <c r="I10" s="17"/>
      <c r="J10" s="16"/>
      <c r="K10" s="16"/>
      <c r="L10" s="16"/>
      <c r="M10" s="16"/>
    </row>
    <row r="11" spans="1:10" ht="17.25">
      <c r="A11" s="16" t="str">
        <f>+'A-1'!A12</f>
        <v>DOCKET NO.: 160021-EI</v>
      </c>
      <c r="B11" s="16"/>
      <c r="C11" s="16"/>
      <c r="D11" s="55"/>
      <c r="E11" s="55"/>
      <c r="F11" s="55"/>
      <c r="G11" s="17"/>
      <c r="H11" s="17"/>
      <c r="I11" s="17"/>
      <c r="J11" s="16"/>
    </row>
    <row r="12" spans="1:13" ht="17.25">
      <c r="A12" s="16"/>
      <c r="B12" s="16"/>
      <c r="C12" s="16"/>
      <c r="D12" s="55"/>
      <c r="E12" s="55"/>
      <c r="F12" s="55"/>
      <c r="G12" s="17"/>
      <c r="H12" s="17"/>
      <c r="I12" s="17"/>
      <c r="J12" s="16"/>
      <c r="K12" s="16" t="s">
        <v>368</v>
      </c>
      <c r="L12" s="16"/>
      <c r="M12" s="16"/>
    </row>
    <row r="13" spans="1:15" ht="17.25" thickBot="1">
      <c r="A13" s="16"/>
      <c r="B13" s="16"/>
      <c r="C13" s="16"/>
      <c r="D13" s="16"/>
      <c r="E13" s="17"/>
      <c r="F13" s="17"/>
      <c r="G13" s="490" t="s">
        <v>63</v>
      </c>
      <c r="H13" s="17"/>
      <c r="I13" s="17"/>
      <c r="J13" s="16"/>
      <c r="K13" s="16"/>
      <c r="L13" s="16"/>
      <c r="M13" s="16"/>
      <c r="N13" s="16"/>
      <c r="O13" s="65"/>
    </row>
    <row r="14" spans="1:15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66"/>
    </row>
    <row r="15" spans="1:13" ht="16.5">
      <c r="A15" s="17"/>
      <c r="B15" s="17"/>
      <c r="C15" s="17"/>
      <c r="D15" s="17"/>
      <c r="E15" s="26"/>
      <c r="F15" s="26"/>
      <c r="G15" s="26"/>
      <c r="H15" s="26"/>
      <c r="I15" s="26"/>
      <c r="J15" s="26"/>
      <c r="K15" s="26"/>
      <c r="L15" s="26"/>
      <c r="M15" s="26"/>
    </row>
    <row r="16" spans="1:12" ht="16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6"/>
    </row>
    <row r="17" spans="1:14" ht="16.5">
      <c r="A17" s="17"/>
      <c r="D17" s="25" t="s">
        <v>252</v>
      </c>
      <c r="E17" s="25" t="s">
        <v>253</v>
      </c>
      <c r="F17" s="25" t="s">
        <v>254</v>
      </c>
      <c r="G17" s="25" t="s">
        <v>255</v>
      </c>
      <c r="I17" s="25" t="s">
        <v>256</v>
      </c>
      <c r="K17" s="25" t="s">
        <v>257</v>
      </c>
      <c r="L17" s="25" t="s">
        <v>258</v>
      </c>
      <c r="M17" s="25" t="s">
        <v>259</v>
      </c>
      <c r="N17" s="25" t="s">
        <v>260</v>
      </c>
    </row>
    <row r="18" spans="1:14" ht="16.5">
      <c r="A18" s="17"/>
      <c r="B18" s="17"/>
      <c r="C18" s="17"/>
      <c r="D18" s="17"/>
      <c r="E18" s="17"/>
      <c r="F18" s="17"/>
      <c r="G18" s="68"/>
      <c r="K18" s="68"/>
      <c r="L18" s="17"/>
      <c r="M18" s="68"/>
      <c r="N18" s="68"/>
    </row>
    <row r="19" spans="1:14" ht="16.5">
      <c r="A19" s="307" t="s">
        <v>6</v>
      </c>
      <c r="B19" s="25"/>
      <c r="C19" s="25"/>
      <c r="D19" s="27" t="s">
        <v>97</v>
      </c>
      <c r="E19" s="25" t="s">
        <v>98</v>
      </c>
      <c r="F19" s="25" t="s">
        <v>99</v>
      </c>
      <c r="G19" s="27" t="s">
        <v>100</v>
      </c>
      <c r="I19" s="27" t="s">
        <v>67</v>
      </c>
      <c r="K19" s="25" t="s">
        <v>67</v>
      </c>
      <c r="L19" s="25" t="s">
        <v>101</v>
      </c>
      <c r="M19" s="25" t="s">
        <v>102</v>
      </c>
      <c r="N19" s="27" t="s">
        <v>103</v>
      </c>
    </row>
    <row r="20" spans="1:14" ht="16.5">
      <c r="A20" s="307" t="s">
        <v>48</v>
      </c>
      <c r="B20" s="25" t="s">
        <v>104</v>
      </c>
      <c r="C20" s="25"/>
      <c r="D20" s="25" t="s">
        <v>72</v>
      </c>
      <c r="E20" s="25" t="s">
        <v>71</v>
      </c>
      <c r="F20" s="25" t="s">
        <v>71</v>
      </c>
      <c r="G20" s="25" t="s">
        <v>64</v>
      </c>
      <c r="I20" s="27" t="s">
        <v>74</v>
      </c>
      <c r="K20" s="25" t="s">
        <v>105</v>
      </c>
      <c r="L20" s="25"/>
      <c r="M20" s="25" t="s">
        <v>106</v>
      </c>
      <c r="N20" s="25" t="s">
        <v>107</v>
      </c>
    </row>
    <row r="21" spans="1:15" ht="17.25" thickBot="1">
      <c r="A21" s="451"/>
      <c r="B21" s="69"/>
      <c r="C21" s="69"/>
      <c r="D21" s="69"/>
      <c r="E21" s="69"/>
      <c r="F21" s="69"/>
      <c r="G21" s="69"/>
      <c r="H21" s="70"/>
      <c r="I21" s="69"/>
      <c r="J21" s="70"/>
      <c r="K21" s="71"/>
      <c r="L21" s="71"/>
      <c r="M21" s="71"/>
      <c r="N21" s="71"/>
      <c r="O21" s="65"/>
    </row>
    <row r="22" spans="1:20" ht="16.5">
      <c r="A22" s="452"/>
      <c r="B22" s="39"/>
      <c r="C22" s="39"/>
      <c r="D22" s="39"/>
      <c r="E22" s="39"/>
      <c r="F22" s="39"/>
      <c r="G22" s="39"/>
      <c r="I22" s="39"/>
      <c r="K22" s="35"/>
      <c r="L22" s="35"/>
      <c r="M22" s="35"/>
      <c r="N22" s="35"/>
      <c r="O22" s="66"/>
      <c r="Q22" s="596">
        <v>2018</v>
      </c>
      <c r="T22" s="597" t="s">
        <v>567</v>
      </c>
    </row>
    <row r="23" spans="1:23" ht="15">
      <c r="A23" s="453">
        <v>1</v>
      </c>
      <c r="B23" s="108" t="s">
        <v>108</v>
      </c>
      <c r="C23" s="108"/>
      <c r="D23" s="420">
        <f>+L23*'B-6'!I$48</f>
        <v>443867.5160581877</v>
      </c>
      <c r="E23" s="421">
        <v>0</v>
      </c>
      <c r="F23" s="421">
        <v>0</v>
      </c>
      <c r="G23" s="422">
        <f>D23+E23+F23</f>
        <v>443867.5160581877</v>
      </c>
      <c r="H23" s="423"/>
      <c r="I23" s="424">
        <f>'B-1 '!V24</f>
        <v>0.9488237032684593</v>
      </c>
      <c r="J23" s="425"/>
      <c r="K23" s="420">
        <v>421152.020346902</v>
      </c>
      <c r="L23" s="426">
        <v>0.39607467868618695</v>
      </c>
      <c r="M23" s="426">
        <v>0.04867458494663611</v>
      </c>
      <c r="N23" s="427">
        <v>0.01927877059292241</v>
      </c>
      <c r="O23" s="277"/>
      <c r="P23" s="212" t="s">
        <v>108</v>
      </c>
      <c r="Q23" s="598">
        <v>10024106.324057756</v>
      </c>
      <c r="R23" s="599">
        <v>0.2959504568290079</v>
      </c>
      <c r="S23" s="599">
        <v>0.04867458494663611</v>
      </c>
      <c r="T23" s="599">
        <v>0.014405265650919307</v>
      </c>
      <c r="U23" s="599">
        <f>Q23/(Q23+Q26)</f>
        <v>0.39607467868618695</v>
      </c>
      <c r="V23" s="600">
        <f>S23</f>
        <v>0.04867458494663611</v>
      </c>
      <c r="W23" s="601">
        <f>U23*V23</f>
        <v>0.01927877059292241</v>
      </c>
    </row>
    <row r="24" spans="1:23" ht="15">
      <c r="A24" s="453">
        <f aca="true" t="shared" si="0" ref="A24:A56">A23+1</f>
        <v>2</v>
      </c>
      <c r="B24" s="108"/>
      <c r="C24" s="108"/>
      <c r="D24" s="428"/>
      <c r="E24" s="421"/>
      <c r="F24" s="421"/>
      <c r="G24" s="429"/>
      <c r="H24" s="423"/>
      <c r="I24" s="430"/>
      <c r="J24" s="425"/>
      <c r="K24" s="431"/>
      <c r="L24" s="432"/>
      <c r="M24" s="432"/>
      <c r="N24" s="421"/>
      <c r="P24" t="s">
        <v>110</v>
      </c>
      <c r="Q24" s="602">
        <v>0</v>
      </c>
      <c r="R24" s="248">
        <v>0</v>
      </c>
      <c r="S24" s="248">
        <v>0</v>
      </c>
      <c r="T24" s="248">
        <v>0</v>
      </c>
      <c r="U24" s="248"/>
      <c r="W24" s="249"/>
    </row>
    <row r="25" spans="1:23" ht="15">
      <c r="A25" s="453">
        <f t="shared" si="0"/>
        <v>3</v>
      </c>
      <c r="B25" s="108" t="s">
        <v>109</v>
      </c>
      <c r="C25" s="108"/>
      <c r="D25" s="431">
        <v>0</v>
      </c>
      <c r="E25" s="421">
        <v>0</v>
      </c>
      <c r="F25" s="421">
        <v>0</v>
      </c>
      <c r="G25" s="421">
        <f>D25+E25+F25</f>
        <v>0</v>
      </c>
      <c r="H25" s="423"/>
      <c r="I25" s="430"/>
      <c r="J25" s="425"/>
      <c r="K25" s="432">
        <v>0</v>
      </c>
      <c r="L25" s="432">
        <v>0</v>
      </c>
      <c r="M25" s="432">
        <v>0</v>
      </c>
      <c r="N25" s="421">
        <v>0</v>
      </c>
      <c r="P25" t="s">
        <v>112</v>
      </c>
      <c r="Q25" s="602">
        <v>386358.5297813723</v>
      </c>
      <c r="R25" s="248">
        <v>0.011406800735359216</v>
      </c>
      <c r="S25" s="248">
        <v>0.020400693863565248</v>
      </c>
      <c r="T25" s="248">
        <v>0.00023270664976475432</v>
      </c>
      <c r="U25" s="248"/>
      <c r="W25" s="249"/>
    </row>
    <row r="26" spans="1:23" ht="15">
      <c r="A26" s="453">
        <f t="shared" si="0"/>
        <v>4</v>
      </c>
      <c r="B26" s="108"/>
      <c r="C26" s="108"/>
      <c r="D26" s="431"/>
      <c r="E26" s="421"/>
      <c r="F26" s="421"/>
      <c r="G26" s="421"/>
      <c r="H26" s="423"/>
      <c r="I26" s="430"/>
      <c r="J26" s="425"/>
      <c r="K26" s="431"/>
      <c r="L26" s="432"/>
      <c r="M26" s="432"/>
      <c r="N26" s="421"/>
      <c r="P26" t="s">
        <v>111</v>
      </c>
      <c r="Q26" s="598">
        <v>15284520.718975041</v>
      </c>
      <c r="R26" s="599">
        <v>0.45125827110760364</v>
      </c>
      <c r="S26" s="599">
        <v>0.115</v>
      </c>
      <c r="T26" s="599">
        <v>0.05189470117737442</v>
      </c>
      <c r="U26" s="599">
        <f>Q26/(Q23+Q26)</f>
        <v>0.6039253213138132</v>
      </c>
      <c r="V26" s="600">
        <f>S26</f>
        <v>0.115</v>
      </c>
      <c r="W26" s="601">
        <f>U26*V26</f>
        <v>0.06945141195108852</v>
      </c>
    </row>
    <row r="27" spans="1:20" ht="15">
      <c r="A27" s="453">
        <f t="shared" si="0"/>
        <v>5</v>
      </c>
      <c r="B27" s="108" t="s">
        <v>110</v>
      </c>
      <c r="C27" s="108"/>
      <c r="D27" s="431">
        <v>0</v>
      </c>
      <c r="E27" s="421">
        <v>0</v>
      </c>
      <c r="F27" s="421">
        <v>0</v>
      </c>
      <c r="G27" s="421">
        <f>D27+E27+F27</f>
        <v>0</v>
      </c>
      <c r="H27" s="423"/>
      <c r="I27" s="430"/>
      <c r="J27" s="425"/>
      <c r="K27" s="432">
        <v>0</v>
      </c>
      <c r="L27" s="432">
        <v>0</v>
      </c>
      <c r="M27" s="432">
        <v>0</v>
      </c>
      <c r="N27" s="421">
        <v>0</v>
      </c>
      <c r="P27" t="s">
        <v>109</v>
      </c>
      <c r="Q27" s="602">
        <v>321611.38668237877</v>
      </c>
      <c r="R27" s="248">
        <v>0.009495214209931827</v>
      </c>
      <c r="S27" s="248">
        <v>0.026799056635252123</v>
      </c>
      <c r="T27" s="248">
        <v>0.00025446278337581377</v>
      </c>
    </row>
    <row r="28" spans="1:20" ht="15">
      <c r="A28" s="453">
        <f t="shared" si="0"/>
        <v>6</v>
      </c>
      <c r="B28" s="108"/>
      <c r="C28" s="108"/>
      <c r="D28" s="428"/>
      <c r="E28" s="421"/>
      <c r="F28" s="421"/>
      <c r="G28" s="429"/>
      <c r="H28" s="423"/>
      <c r="I28" s="430"/>
      <c r="J28" s="425"/>
      <c r="K28" s="428"/>
      <c r="L28" s="426"/>
      <c r="M28" s="426"/>
      <c r="N28" s="427"/>
      <c r="P28" t="s">
        <v>568</v>
      </c>
      <c r="Q28" s="602">
        <v>7753737.453849619</v>
      </c>
      <c r="R28" s="248">
        <v>0.22892037129451356</v>
      </c>
      <c r="S28" s="248">
        <v>0</v>
      </c>
      <c r="T28" s="248">
        <v>0</v>
      </c>
    </row>
    <row r="29" spans="1:23" ht="15">
      <c r="A29" s="453">
        <f t="shared" si="0"/>
        <v>7</v>
      </c>
      <c r="B29" s="108" t="s">
        <v>111</v>
      </c>
      <c r="C29" s="108"/>
      <c r="D29" s="420">
        <f>+L29*'B-6'!I$48</f>
        <v>676798.7116606195</v>
      </c>
      <c r="E29" s="421">
        <v>0</v>
      </c>
      <c r="F29" s="421">
        <v>0</v>
      </c>
      <c r="G29" s="422">
        <f>D29+E29+F29</f>
        <v>676798.7116606195</v>
      </c>
      <c r="H29" s="423"/>
      <c r="I29" s="424">
        <f>I23</f>
        <v>0.9488237032684593</v>
      </c>
      <c r="J29" s="425"/>
      <c r="K29" s="420">
        <v>642162.6599651512</v>
      </c>
      <c r="L29" s="426">
        <v>0.6039253213138132</v>
      </c>
      <c r="M29" s="426">
        <v>0.115</v>
      </c>
      <c r="N29" s="427">
        <v>0.06945141195108852</v>
      </c>
      <c r="O29" s="277"/>
      <c r="P29" t="s">
        <v>569</v>
      </c>
      <c r="Q29" s="603">
        <v>100558.8147369756</v>
      </c>
      <c r="R29" s="604">
        <v>0.002968885823583771</v>
      </c>
      <c r="S29" s="604">
        <v>0.08873018254401091</v>
      </c>
      <c r="T29" s="604">
        <v>0.0002634297810789142</v>
      </c>
      <c r="U29" s="605"/>
      <c r="V29" s="605"/>
      <c r="W29" s="605"/>
    </row>
    <row r="30" spans="1:23" ht="15">
      <c r="A30" s="453">
        <f t="shared" si="0"/>
        <v>8</v>
      </c>
      <c r="B30" s="108"/>
      <c r="C30" s="108"/>
      <c r="D30" s="433"/>
      <c r="E30" s="421"/>
      <c r="F30" s="421"/>
      <c r="G30" s="429"/>
      <c r="H30" s="423"/>
      <c r="I30" s="434"/>
      <c r="J30" s="423"/>
      <c r="K30" s="433"/>
      <c r="L30" s="427"/>
      <c r="M30" s="427"/>
      <c r="N30" s="427"/>
      <c r="P30" t="s">
        <v>47</v>
      </c>
      <c r="Q30" s="602">
        <v>33870893.22808315</v>
      </c>
      <c r="R30" s="248">
        <v>0.9999999999999999</v>
      </c>
      <c r="S30" s="248" t="s">
        <v>79</v>
      </c>
      <c r="T30" s="248">
        <v>0.06705056604251322</v>
      </c>
      <c r="U30" s="248">
        <f>SUM(U23:U29)</f>
        <v>1</v>
      </c>
      <c r="W30" s="248">
        <f>SUM(W23:W29)</f>
        <v>0.08873018254401092</v>
      </c>
    </row>
    <row r="31" spans="1:14" ht="15">
      <c r="A31" s="453">
        <f t="shared" si="0"/>
        <v>9</v>
      </c>
      <c r="B31" s="108" t="s">
        <v>112</v>
      </c>
      <c r="C31" s="108"/>
      <c r="D31" s="318">
        <v>0</v>
      </c>
      <c r="E31" s="316">
        <v>0</v>
      </c>
      <c r="F31" s="316">
        <v>0</v>
      </c>
      <c r="G31" s="316">
        <f>D31+E31+F31</f>
        <v>0</v>
      </c>
      <c r="I31" s="109"/>
      <c r="K31" s="316">
        <v>0</v>
      </c>
      <c r="L31" s="325">
        <v>0</v>
      </c>
      <c r="M31" s="316">
        <v>0</v>
      </c>
      <c r="N31" s="316">
        <v>0</v>
      </c>
    </row>
    <row r="32" spans="1:14" ht="15">
      <c r="A32" s="453">
        <f t="shared" si="0"/>
        <v>10</v>
      </c>
      <c r="B32" s="108"/>
      <c r="C32" s="108"/>
      <c r="D32" s="319"/>
      <c r="E32" s="316"/>
      <c r="F32" s="316"/>
      <c r="G32" s="316"/>
      <c r="I32" s="108"/>
      <c r="K32" s="318"/>
      <c r="L32" s="325"/>
      <c r="M32" s="316"/>
      <c r="N32" s="316"/>
    </row>
    <row r="33" spans="1:14" ht="15">
      <c r="A33" s="453">
        <f t="shared" si="0"/>
        <v>11</v>
      </c>
      <c r="B33" s="108" t="s">
        <v>113</v>
      </c>
      <c r="C33" s="108"/>
      <c r="D33" s="320">
        <v>0</v>
      </c>
      <c r="E33" s="316">
        <v>0</v>
      </c>
      <c r="F33" s="316">
        <v>0</v>
      </c>
      <c r="G33" s="316">
        <f>D33+E33+F33</f>
        <v>0</v>
      </c>
      <c r="I33" s="109"/>
      <c r="K33" s="316">
        <v>0</v>
      </c>
      <c r="L33" s="325">
        <v>0</v>
      </c>
      <c r="M33" s="316">
        <v>0</v>
      </c>
      <c r="N33" s="316">
        <f>L33*M33</f>
        <v>0</v>
      </c>
    </row>
    <row r="34" spans="1:14" ht="15">
      <c r="A34" s="453">
        <f t="shared" si="0"/>
        <v>12</v>
      </c>
      <c r="B34" s="108"/>
      <c r="C34" s="108"/>
      <c r="D34" s="318"/>
      <c r="E34" s="316"/>
      <c r="F34" s="316"/>
      <c r="G34" s="316"/>
      <c r="I34" s="108"/>
      <c r="K34" s="318"/>
      <c r="L34" s="325"/>
      <c r="M34" s="316"/>
      <c r="N34" s="316"/>
    </row>
    <row r="35" spans="1:14" ht="15">
      <c r="A35" s="453">
        <f t="shared" si="0"/>
        <v>13</v>
      </c>
      <c r="B35" s="108" t="s">
        <v>114</v>
      </c>
      <c r="C35" s="108"/>
      <c r="D35" s="321">
        <v>0</v>
      </c>
      <c r="E35" s="316">
        <v>0</v>
      </c>
      <c r="F35" s="316">
        <v>0</v>
      </c>
      <c r="G35" s="316">
        <f>D35+E35+F35</f>
        <v>0</v>
      </c>
      <c r="I35" s="109"/>
      <c r="K35" s="316">
        <v>0</v>
      </c>
      <c r="L35" s="325">
        <v>0</v>
      </c>
      <c r="M35" s="316">
        <v>0</v>
      </c>
      <c r="N35" s="316">
        <f>L35*M35</f>
        <v>0</v>
      </c>
    </row>
    <row r="36" spans="1:14" ht="15">
      <c r="A36" s="453">
        <f t="shared" si="0"/>
        <v>14</v>
      </c>
      <c r="B36" s="108"/>
      <c r="C36" s="108"/>
      <c r="D36" s="110"/>
      <c r="E36" s="316"/>
      <c r="F36" s="316"/>
      <c r="G36" s="72"/>
      <c r="I36" s="108"/>
      <c r="K36" s="108"/>
      <c r="L36" s="73"/>
      <c r="M36" s="73"/>
      <c r="N36" s="73"/>
    </row>
    <row r="37" spans="1:14" ht="15" thickBot="1">
      <c r="A37" s="453">
        <f t="shared" si="0"/>
        <v>15</v>
      </c>
      <c r="B37" s="108" t="s">
        <v>47</v>
      </c>
      <c r="C37" s="108"/>
      <c r="D37" s="322">
        <f>SUM(D23:D36)</f>
        <v>1120666.2277188073</v>
      </c>
      <c r="E37" s="317">
        <f>SUM(E23:E36)</f>
        <v>0</v>
      </c>
      <c r="F37" s="317">
        <f>SUM(F23:F36)</f>
        <v>0</v>
      </c>
      <c r="G37" s="324">
        <f>SUM(G23:G36)</f>
        <v>1120666.2277188073</v>
      </c>
      <c r="I37" s="108"/>
      <c r="K37" s="322">
        <f>SUM(K23:K36)</f>
        <v>1063314.6803120533</v>
      </c>
      <c r="L37" s="75">
        <f>SUM(L23:L36)</f>
        <v>1</v>
      </c>
      <c r="M37" s="73"/>
      <c r="N37" s="75">
        <f>SUM(N23:N36)</f>
        <v>0.08873018254401092</v>
      </c>
    </row>
    <row r="38" spans="1:14" ht="17.25" thickTop="1">
      <c r="A38" s="453">
        <f t="shared" si="0"/>
        <v>16</v>
      </c>
      <c r="B38" s="108"/>
      <c r="C38" s="108"/>
      <c r="D38" s="108"/>
      <c r="E38" s="318"/>
      <c r="F38" s="318"/>
      <c r="G38" s="108"/>
      <c r="H38" s="108"/>
      <c r="I38" s="108"/>
      <c r="J38" s="108"/>
      <c r="K38" s="108"/>
      <c r="L38" s="108"/>
      <c r="M38" s="17"/>
      <c r="N38" s="66"/>
    </row>
    <row r="39" spans="1:15" ht="16.5">
      <c r="A39" s="453">
        <f t="shared" si="0"/>
        <v>17</v>
      </c>
      <c r="B39" s="17"/>
      <c r="C39" s="17"/>
      <c r="D39" s="17"/>
      <c r="E39" s="17"/>
      <c r="F39" s="17"/>
      <c r="G39" s="17"/>
      <c r="H39" s="17"/>
      <c r="I39" s="17"/>
      <c r="J39" s="17"/>
      <c r="K39" s="256"/>
      <c r="L39" s="17"/>
      <c r="M39" s="39"/>
      <c r="N39" s="66"/>
      <c r="O39" s="66"/>
    </row>
    <row r="40" spans="1:15" ht="16.5">
      <c r="A40" s="453">
        <f t="shared" si="0"/>
        <v>18</v>
      </c>
      <c r="B40" s="17"/>
      <c r="C40" s="17"/>
      <c r="D40" s="74"/>
      <c r="E40" s="96"/>
      <c r="F40" s="96"/>
      <c r="G40" s="96"/>
      <c r="H40" s="96"/>
      <c r="I40" s="96"/>
      <c r="J40" s="96"/>
      <c r="K40" s="74"/>
      <c r="L40" s="17"/>
      <c r="M40" s="39"/>
      <c r="N40" s="66"/>
      <c r="O40" s="66"/>
    </row>
    <row r="41" spans="1:15" ht="16.5">
      <c r="A41" s="453">
        <f t="shared" si="0"/>
        <v>19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39"/>
      <c r="N41" s="66"/>
      <c r="O41" s="66"/>
    </row>
    <row r="42" spans="1:15" ht="16.5">
      <c r="A42" s="453">
        <f t="shared" si="0"/>
        <v>20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39"/>
      <c r="N42" s="66"/>
      <c r="O42" s="66"/>
    </row>
    <row r="43" spans="1:14" ht="16.5">
      <c r="A43" s="453">
        <f t="shared" si="0"/>
        <v>21</v>
      </c>
      <c r="B43" s="209" t="s">
        <v>382</v>
      </c>
      <c r="D43" s="57" t="s">
        <v>547</v>
      </c>
      <c r="E43" s="17"/>
      <c r="F43" s="17"/>
      <c r="G43" s="17"/>
      <c r="H43" s="17"/>
      <c r="I43" s="17"/>
      <c r="J43" s="17"/>
      <c r="K43" s="17"/>
      <c r="L43" s="17"/>
      <c r="M43" s="17"/>
      <c r="N43" s="66"/>
    </row>
    <row r="44" spans="1:13" ht="16.5">
      <c r="A44" s="453">
        <f t="shared" si="0"/>
        <v>22</v>
      </c>
      <c r="D44" s="57" t="s">
        <v>503</v>
      </c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6.5">
      <c r="A45" s="453">
        <f t="shared" si="0"/>
        <v>23</v>
      </c>
      <c r="B45" s="17"/>
      <c r="C45" s="3"/>
      <c r="D45" s="57" t="s">
        <v>519</v>
      </c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6.5">
      <c r="A46" s="453">
        <f t="shared" si="0"/>
        <v>24</v>
      </c>
      <c r="B46" s="17"/>
      <c r="C46" s="3"/>
      <c r="D46" s="57" t="s">
        <v>520</v>
      </c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6.5">
      <c r="A47" s="453">
        <f t="shared" si="0"/>
        <v>25</v>
      </c>
      <c r="B47" s="111"/>
      <c r="C47" s="108"/>
      <c r="D47" s="260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6.5">
      <c r="A48" s="453">
        <f t="shared" si="0"/>
        <v>26</v>
      </c>
      <c r="B48" s="108"/>
      <c r="C48" s="76"/>
      <c r="D48" s="260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6.5">
      <c r="A49" s="453">
        <f t="shared" si="0"/>
        <v>27</v>
      </c>
      <c r="B49" s="17"/>
      <c r="C49" s="108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6.5">
      <c r="A50" s="453">
        <f t="shared" si="0"/>
        <v>28</v>
      </c>
      <c r="B50" s="17"/>
      <c r="C50" s="108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6.5">
      <c r="A51" s="453">
        <f t="shared" si="0"/>
        <v>29</v>
      </c>
      <c r="B51" s="17"/>
      <c r="C51" s="3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6.5">
      <c r="A52" s="453">
        <f t="shared" si="0"/>
        <v>30</v>
      </c>
      <c r="B52" s="17"/>
      <c r="C52" s="3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6.5">
      <c r="A53" s="453">
        <f t="shared" si="0"/>
        <v>31</v>
      </c>
      <c r="B53" s="17"/>
      <c r="C53" s="3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6.5">
      <c r="A54" s="453">
        <f t="shared" si="0"/>
        <v>32</v>
      </c>
      <c r="B54" s="17"/>
      <c r="C54" s="3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6.5">
      <c r="A55" s="453">
        <f t="shared" si="0"/>
        <v>33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5" ht="17.25" thickBot="1">
      <c r="A56" s="453">
        <f t="shared" si="0"/>
        <v>34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65"/>
      <c r="O56" s="65"/>
    </row>
    <row r="57" spans="1:15" ht="16.5">
      <c r="A57" s="24" t="s">
        <v>13</v>
      </c>
      <c r="B57" s="24"/>
      <c r="C57" s="24"/>
      <c r="D57" s="35"/>
      <c r="E57" s="35"/>
      <c r="F57" s="35"/>
      <c r="G57" s="35"/>
      <c r="H57" s="35"/>
      <c r="I57" s="35"/>
      <c r="J57" s="24" t="s">
        <v>14</v>
      </c>
      <c r="K57" s="24"/>
      <c r="L57" s="35" t="s">
        <v>1</v>
      </c>
      <c r="M57" s="35"/>
      <c r="N57" s="66"/>
      <c r="O57" s="66"/>
    </row>
  </sheetData>
  <sheetProtection/>
  <printOptions horizontalCentered="1"/>
  <pageMargins left="0.5" right="0.5" top="0.75" bottom="0.51" header="0" footer="0"/>
  <pageSetup fitToHeight="1" fitToWidth="1" horizontalDpi="600" verticalDpi="600" orientation="landscape" r:id="rId1"/>
  <ignoredErrors>
    <ignoredError sqref="D24:J28 E23:J23 D32:N32 E29:J29 D30:J31 D34:N37 D33:L33 N33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2" sqref="A2"/>
    </sheetView>
  </sheetViews>
  <sheetFormatPr defaultColWidth="7.10546875" defaultRowHeight="15"/>
  <cols>
    <col min="1" max="1" width="5.77734375" style="221" customWidth="1"/>
    <col min="2" max="2" width="29.6640625" style="221" customWidth="1"/>
    <col min="3" max="3" width="1.88671875" style="221" customWidth="1"/>
    <col min="4" max="4" width="18.99609375" style="221" customWidth="1"/>
    <col min="5" max="5" width="1.99609375" style="221" customWidth="1"/>
    <col min="6" max="6" width="15.4453125" style="221" customWidth="1"/>
    <col min="7" max="7" width="8.99609375" style="221" customWidth="1"/>
    <col min="8" max="8" width="1.66796875" style="221" customWidth="1"/>
    <col min="9" max="16384" width="7.10546875" style="221" customWidth="1"/>
  </cols>
  <sheetData>
    <row r="1" s="222" customFormat="1" ht="12.75">
      <c r="A1" s="222" t="s">
        <v>587</v>
      </c>
    </row>
    <row r="2" s="222" customFormat="1" ht="12.75">
      <c r="A2" s="222" t="s">
        <v>571</v>
      </c>
    </row>
    <row r="3" s="222" customFormat="1" ht="12.75"/>
    <row r="4" spans="2:4" ht="12.75">
      <c r="B4" s="222" t="s">
        <v>405</v>
      </c>
      <c r="D4" s="223"/>
    </row>
    <row r="5" spans="2:4" ht="12.75">
      <c r="B5" s="279" t="s">
        <v>517</v>
      </c>
      <c r="D5" s="223"/>
    </row>
    <row r="6" spans="4:6" ht="12.75">
      <c r="D6" s="223"/>
      <c r="F6" s="328"/>
    </row>
    <row r="8" spans="1:6" ht="12.75">
      <c r="A8" s="221" t="s">
        <v>406</v>
      </c>
      <c r="D8" s="440">
        <v>0.9512837372249096</v>
      </c>
      <c r="F8" s="442"/>
    </row>
    <row r="9" spans="1:4" ht="12.75">
      <c r="A9" s="221" t="s">
        <v>407</v>
      </c>
      <c r="D9" s="440">
        <v>0.8987352177824239</v>
      </c>
    </row>
    <row r="10" spans="4:6" ht="12.75">
      <c r="D10" s="440"/>
      <c r="F10" s="224"/>
    </row>
    <row r="11" spans="1:6" ht="12.75">
      <c r="A11" s="221" t="s">
        <v>408</v>
      </c>
      <c r="D11" s="440">
        <v>0.9512837372249096</v>
      </c>
      <c r="F11" s="224"/>
    </row>
    <row r="12" spans="1:6" ht="12.75">
      <c r="A12" s="221" t="s">
        <v>409</v>
      </c>
      <c r="D12" s="440">
        <v>0.8987352177824239</v>
      </c>
      <c r="F12" s="224"/>
    </row>
    <row r="13" ht="12.75">
      <c r="D13" s="440"/>
    </row>
    <row r="14" spans="1:4" ht="12.75">
      <c r="A14" s="221" t="s">
        <v>296</v>
      </c>
      <c r="D14" s="440"/>
    </row>
    <row r="15" ht="12.75">
      <c r="D15" s="440"/>
    </row>
    <row r="16" spans="2:4" ht="12.75">
      <c r="B16" s="226" t="s">
        <v>410</v>
      </c>
      <c r="D16" s="440"/>
    </row>
    <row r="17" spans="1:6" ht="12.75">
      <c r="A17" s="221">
        <v>546</v>
      </c>
      <c r="B17" s="221" t="s">
        <v>411</v>
      </c>
      <c r="D17" s="440">
        <v>0.9512837372249096</v>
      </c>
      <c r="F17" s="224"/>
    </row>
    <row r="18" spans="1:6" ht="12.75">
      <c r="A18" s="221">
        <v>548</v>
      </c>
      <c r="B18" s="221" t="s">
        <v>412</v>
      </c>
      <c r="D18" s="440">
        <v>0.9512837372249096</v>
      </c>
      <c r="F18" s="224"/>
    </row>
    <row r="19" spans="1:6" ht="12.75">
      <c r="A19" s="221">
        <v>549</v>
      </c>
      <c r="B19" s="221" t="s">
        <v>413</v>
      </c>
      <c r="D19" s="440">
        <v>0.9512837372249096</v>
      </c>
      <c r="F19" s="224"/>
    </row>
    <row r="20" spans="1:6" ht="12.75">
      <c r="A20" s="221">
        <v>551</v>
      </c>
      <c r="B20" s="221" t="s">
        <v>414</v>
      </c>
      <c r="D20" s="440">
        <v>0.9486592557519511</v>
      </c>
      <c r="F20" s="225"/>
    </row>
    <row r="21" spans="1:6" ht="12.75">
      <c r="A21" s="221">
        <v>552</v>
      </c>
      <c r="B21" s="221" t="s">
        <v>415</v>
      </c>
      <c r="D21" s="440">
        <v>0.9512837372249096</v>
      </c>
      <c r="F21" s="224"/>
    </row>
    <row r="22" spans="1:6" ht="12.75">
      <c r="A22" s="221">
        <v>553</v>
      </c>
      <c r="B22" s="221" t="s">
        <v>416</v>
      </c>
      <c r="D22" s="440">
        <v>0.9486592557519511</v>
      </c>
      <c r="F22" s="225"/>
    </row>
    <row r="23" spans="1:6" ht="12.75">
      <c r="A23" s="221">
        <v>554</v>
      </c>
      <c r="B23" s="221" t="s">
        <v>417</v>
      </c>
      <c r="D23" s="440">
        <v>0.9486592557519511</v>
      </c>
      <c r="F23" s="225"/>
    </row>
    <row r="24" ht="12.75">
      <c r="D24" s="440"/>
    </row>
    <row r="25" spans="1:6" ht="12.75">
      <c r="A25" s="221">
        <v>924</v>
      </c>
      <c r="B25" s="221" t="s">
        <v>418</v>
      </c>
      <c r="D25" s="440">
        <v>0.9635078410394878</v>
      </c>
      <c r="F25" s="225"/>
    </row>
    <row r="26" spans="1:6" ht="12.75">
      <c r="A26" s="221">
        <v>925</v>
      </c>
      <c r="B26" s="221" t="s">
        <v>419</v>
      </c>
      <c r="D26" s="440">
        <v>0.9682042331381946</v>
      </c>
      <c r="F26" s="225"/>
    </row>
    <row r="27" spans="1:6" ht="12.75">
      <c r="A27" s="221">
        <v>926</v>
      </c>
      <c r="B27" s="221" t="s">
        <v>420</v>
      </c>
      <c r="D27" s="440">
        <v>0.9682042331381946</v>
      </c>
      <c r="F27" s="225"/>
    </row>
    <row r="28" ht="12.75">
      <c r="D28" s="440"/>
    </row>
    <row r="29" spans="2:4" ht="12.75">
      <c r="B29" s="226" t="s">
        <v>421</v>
      </c>
      <c r="D29" s="440"/>
    </row>
    <row r="30" spans="1:6" ht="12.75">
      <c r="A30" s="221" t="s">
        <v>422</v>
      </c>
      <c r="B30" s="221" t="s">
        <v>423</v>
      </c>
      <c r="D30" s="440">
        <v>0.9512837372249096</v>
      </c>
      <c r="F30" s="225"/>
    </row>
    <row r="31" spans="1:6" ht="12.75">
      <c r="A31" s="221" t="s">
        <v>422</v>
      </c>
      <c r="B31" s="221" t="s">
        <v>379</v>
      </c>
      <c r="D31" s="440">
        <v>0.8987352177824239</v>
      </c>
      <c r="F31" s="225"/>
    </row>
    <row r="32" ht="12.75">
      <c r="D32" s="440"/>
    </row>
    <row r="33" spans="2:4" ht="12.75">
      <c r="B33" s="226" t="s">
        <v>424</v>
      </c>
      <c r="D33" s="440"/>
    </row>
    <row r="34" spans="1:6" ht="12.75">
      <c r="A34" s="221">
        <v>408</v>
      </c>
      <c r="B34" s="221" t="s">
        <v>425</v>
      </c>
      <c r="D34" s="440">
        <v>0.965352342782816</v>
      </c>
      <c r="F34" s="225"/>
    </row>
    <row r="35" spans="1:6" ht="12.75">
      <c r="A35" s="221">
        <v>408</v>
      </c>
      <c r="B35" s="221" t="s">
        <v>426</v>
      </c>
      <c r="D35" s="440">
        <v>0.9682042331381946</v>
      </c>
      <c r="F35" s="224"/>
    </row>
    <row r="36" spans="1:6" ht="12.75">
      <c r="A36" s="221">
        <v>408</v>
      </c>
      <c r="B36" s="221" t="s">
        <v>427</v>
      </c>
      <c r="D36" s="440">
        <v>0.9682042331381946</v>
      </c>
      <c r="F36" s="224"/>
    </row>
    <row r="37" spans="1:6" ht="12.75">
      <c r="A37" s="221">
        <v>408</v>
      </c>
      <c r="B37" s="221" t="s">
        <v>428</v>
      </c>
      <c r="D37" s="440">
        <v>0.9682042331381946</v>
      </c>
      <c r="F37" s="224"/>
    </row>
    <row r="38" spans="4:6" ht="12.75">
      <c r="D38" s="224"/>
      <c r="F38" s="224"/>
    </row>
  </sheetData>
  <sheetProtection/>
  <printOptions/>
  <pageMargins left="0.44" right="0.38" top="1" bottom="1" header="0.5" footer="0.5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V74"/>
  <sheetViews>
    <sheetView showGridLines="0" showOutlineSymbols="0" zoomScale="70" zoomScaleNormal="70" zoomScaleSheetLayoutView="70" zoomScalePageLayoutView="0" workbookViewId="0" topLeftCell="A1">
      <selection activeCell="A2" sqref="A2"/>
    </sheetView>
  </sheetViews>
  <sheetFormatPr defaultColWidth="9.6640625" defaultRowHeight="15"/>
  <cols>
    <col min="1" max="1" width="13.77734375" style="2" customWidth="1"/>
    <col min="2" max="2" width="12.5546875" style="2" customWidth="1"/>
    <col min="3" max="3" width="25.3359375" style="2" customWidth="1"/>
    <col min="4" max="4" width="13.77734375" style="2" customWidth="1"/>
    <col min="5" max="5" width="1.77734375" style="2" customWidth="1"/>
    <col min="6" max="6" width="13.77734375" style="2" customWidth="1"/>
    <col min="7" max="7" width="1.77734375" style="2" customWidth="1"/>
    <col min="8" max="8" width="13.77734375" style="2" customWidth="1"/>
    <col min="9" max="9" width="1.77734375" style="2" customWidth="1"/>
    <col min="10" max="10" width="13.77734375" style="2" customWidth="1"/>
    <col min="11" max="11" width="1.77734375" style="2" customWidth="1"/>
    <col min="12" max="12" width="13.77734375" style="2" customWidth="1"/>
    <col min="13" max="13" width="1.77734375" style="2" customWidth="1"/>
    <col min="14" max="14" width="13.77734375" style="2" customWidth="1"/>
    <col min="15" max="15" width="1.77734375" style="2" customWidth="1"/>
    <col min="16" max="16" width="13.77734375" style="2" customWidth="1"/>
    <col min="17" max="17" width="1.77734375" style="2" customWidth="1"/>
    <col min="18" max="18" width="13.77734375" style="2" customWidth="1"/>
    <col min="19" max="19" width="1.77734375" style="2" customWidth="1"/>
    <col min="20" max="20" width="13.77734375" style="2" customWidth="1"/>
    <col min="21" max="21" width="1.77734375" style="2" customWidth="1"/>
    <col min="22" max="22" width="14.99609375" style="2" customWidth="1"/>
    <col min="23" max="16384" width="9.6640625" style="2" customWidth="1"/>
  </cols>
  <sheetData>
    <row r="1" s="262" customFormat="1" ht="12.75">
      <c r="A1" s="262" t="s">
        <v>572</v>
      </c>
    </row>
    <row r="2" s="262" customFormat="1" ht="12.75">
      <c r="A2" s="262" t="s">
        <v>571</v>
      </c>
    </row>
    <row r="3" s="262" customFormat="1" ht="12.75"/>
    <row r="4" spans="1:21" ht="16.5">
      <c r="A4" s="16" t="s">
        <v>17</v>
      </c>
      <c r="B4" s="3"/>
      <c r="E4" s="3"/>
      <c r="F4" s="3"/>
      <c r="G4" s="3"/>
      <c r="I4" s="3"/>
      <c r="J4" s="17" t="s">
        <v>18</v>
      </c>
      <c r="K4" s="3"/>
      <c r="L4" s="3"/>
      <c r="M4" s="3"/>
      <c r="N4" s="3"/>
      <c r="O4" s="3"/>
      <c r="Q4" s="3"/>
      <c r="R4" s="4"/>
      <c r="S4" s="3"/>
      <c r="T4" s="491" t="s">
        <v>19</v>
      </c>
      <c r="U4" s="3"/>
    </row>
    <row r="5" ht="17.25" thickBot="1">
      <c r="A5" s="119" t="str">
        <f>+'A-1'!A5</f>
        <v>2019 Okeechobee Limited Scope Adjustment</v>
      </c>
    </row>
    <row r="6" spans="1:2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1" ht="16.5">
      <c r="A7" s="16" t="s">
        <v>2</v>
      </c>
      <c r="B7" s="16"/>
      <c r="C7" s="16"/>
      <c r="D7" s="16"/>
      <c r="E7" s="18"/>
      <c r="F7" s="16"/>
      <c r="G7" s="16"/>
      <c r="H7" s="18" t="s">
        <v>3</v>
      </c>
      <c r="I7" s="5"/>
      <c r="J7" s="15" t="s">
        <v>128</v>
      </c>
      <c r="K7" s="5"/>
      <c r="L7" s="3"/>
      <c r="M7" s="5"/>
      <c r="N7" s="3"/>
      <c r="O7" s="5"/>
      <c r="Q7" s="2" t="s">
        <v>5</v>
      </c>
      <c r="S7" s="5"/>
      <c r="U7" s="5"/>
    </row>
    <row r="8" spans="1:14" ht="16.5">
      <c r="A8" s="16"/>
      <c r="B8" s="16"/>
      <c r="C8" s="16"/>
      <c r="D8" s="16"/>
      <c r="E8" s="16"/>
      <c r="F8" s="16"/>
      <c r="G8" s="16"/>
      <c r="H8" s="16"/>
      <c r="J8" s="258" t="s">
        <v>478</v>
      </c>
      <c r="L8" s="3"/>
      <c r="N8" s="3"/>
    </row>
    <row r="9" spans="1:17" ht="16.5">
      <c r="A9" s="16" t="s">
        <v>117</v>
      </c>
      <c r="B9" s="607" t="s">
        <v>20</v>
      </c>
      <c r="C9" s="607"/>
      <c r="D9" s="607"/>
      <c r="E9" s="50"/>
      <c r="F9" s="16"/>
      <c r="G9" s="16"/>
      <c r="H9" s="16"/>
      <c r="J9" s="259" t="s">
        <v>509</v>
      </c>
      <c r="L9" s="3"/>
      <c r="N9" s="3"/>
      <c r="Q9" s="236" t="s">
        <v>510</v>
      </c>
    </row>
    <row r="10" spans="1:21" ht="16.5">
      <c r="A10" s="16"/>
      <c r="B10" s="607"/>
      <c r="C10" s="607"/>
      <c r="D10" s="607"/>
      <c r="E10" s="50"/>
      <c r="F10" s="17"/>
      <c r="G10" s="17"/>
      <c r="H10" s="17"/>
      <c r="I10" s="3"/>
      <c r="J10" s="15" t="s">
        <v>129</v>
      </c>
      <c r="K10" s="3"/>
      <c r="L10" s="3"/>
      <c r="M10" s="3"/>
      <c r="N10" s="3"/>
      <c r="O10" s="3"/>
      <c r="Q10" s="3"/>
      <c r="S10" s="3"/>
      <c r="U10" s="3"/>
    </row>
    <row r="11" spans="3:21" ht="16.5">
      <c r="C11" s="7"/>
      <c r="D11" s="8"/>
      <c r="E11" s="8"/>
      <c r="F11" s="8"/>
      <c r="G11" s="8"/>
      <c r="I11" s="8"/>
      <c r="J11" s="9"/>
      <c r="K11" s="8"/>
      <c r="L11" s="3"/>
      <c r="M11" s="8"/>
      <c r="N11" s="3"/>
      <c r="O11" s="8"/>
      <c r="Q11" s="20" t="s">
        <v>214</v>
      </c>
      <c r="R11" s="21"/>
      <c r="S11" s="22"/>
      <c r="T11" s="21"/>
      <c r="U11" s="8"/>
    </row>
    <row r="12" spans="1:22" ht="16.5">
      <c r="A12" s="85" t="str">
        <f>+'A-1'!A12</f>
        <v>DOCKET NO.: 160021-EI</v>
      </c>
      <c r="B12" s="85"/>
      <c r="C12" s="16"/>
      <c r="D12" s="16"/>
      <c r="E12" s="17"/>
      <c r="F12" s="17"/>
      <c r="G12" s="17"/>
      <c r="H12" s="17"/>
      <c r="I12" s="17"/>
      <c r="J12" s="23"/>
      <c r="K12" s="17"/>
      <c r="L12" s="17"/>
      <c r="M12" s="17"/>
      <c r="N12" s="17"/>
      <c r="O12" s="17"/>
      <c r="P12" s="16"/>
      <c r="Q12" s="17"/>
      <c r="R12" s="16"/>
      <c r="S12" s="17"/>
      <c r="T12" s="16"/>
      <c r="U12" s="17"/>
      <c r="V12" s="16"/>
    </row>
    <row r="13" spans="1:22" ht="17.25" thickBot="1">
      <c r="A13" s="16"/>
      <c r="B13" s="16"/>
      <c r="C13" s="16"/>
      <c r="D13" s="16"/>
      <c r="E13" s="17"/>
      <c r="F13" s="17"/>
      <c r="G13" s="17"/>
      <c r="H13" s="17"/>
      <c r="I13" s="17"/>
      <c r="J13" s="606" t="s">
        <v>124</v>
      </c>
      <c r="K13" s="606"/>
      <c r="L13" s="606"/>
      <c r="M13" s="17"/>
      <c r="N13" s="17"/>
      <c r="O13" s="17"/>
      <c r="P13" s="16"/>
      <c r="Q13" s="17"/>
      <c r="R13" s="16"/>
      <c r="S13" s="17"/>
      <c r="T13" s="16"/>
      <c r="U13" s="17"/>
      <c r="V13" s="16"/>
    </row>
    <row r="14" spans="1:22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6.5">
      <c r="A15" s="17"/>
      <c r="B15" s="16"/>
      <c r="C15" s="16"/>
      <c r="D15" s="25" t="s">
        <v>21</v>
      </c>
      <c r="E15" s="26"/>
      <c r="F15" s="25" t="s">
        <v>22</v>
      </c>
      <c r="G15" s="26"/>
      <c r="H15" s="25" t="s">
        <v>23</v>
      </c>
      <c r="I15" s="26"/>
      <c r="J15" s="25" t="s">
        <v>24</v>
      </c>
      <c r="K15" s="26"/>
      <c r="L15" s="25" t="s">
        <v>25</v>
      </c>
      <c r="M15" s="26"/>
      <c r="N15" s="25" t="s">
        <v>26</v>
      </c>
      <c r="O15" s="26"/>
      <c r="P15" s="27" t="s">
        <v>27</v>
      </c>
      <c r="Q15" s="26"/>
      <c r="R15" s="27" t="s">
        <v>28</v>
      </c>
      <c r="S15" s="26"/>
      <c r="T15" s="27" t="s">
        <v>29</v>
      </c>
      <c r="U15" s="26"/>
      <c r="V15" s="27" t="s">
        <v>30</v>
      </c>
    </row>
    <row r="16" spans="1:22" ht="16.5">
      <c r="A16" s="17"/>
      <c r="B16" s="16"/>
      <c r="C16" s="16"/>
      <c r="D16" s="28"/>
      <c r="E16" s="28"/>
      <c r="F16" s="29" t="s">
        <v>31</v>
      </c>
      <c r="G16" s="30"/>
      <c r="H16" s="28"/>
      <c r="I16" s="28"/>
      <c r="J16" s="29"/>
      <c r="K16" s="31"/>
      <c r="L16" s="28"/>
      <c r="M16" s="28"/>
      <c r="N16" s="30"/>
      <c r="O16" s="28"/>
      <c r="P16" s="29"/>
      <c r="Q16" s="31"/>
      <c r="R16" s="28"/>
      <c r="S16" s="28"/>
      <c r="T16" s="29"/>
      <c r="U16" s="31"/>
      <c r="V16" s="28"/>
    </row>
    <row r="17" spans="1:22" ht="16.5">
      <c r="A17" s="16"/>
      <c r="B17" s="16"/>
      <c r="C17" s="16"/>
      <c r="D17" s="28"/>
      <c r="E17" s="28"/>
      <c r="F17" s="29" t="s">
        <v>32</v>
      </c>
      <c r="G17" s="30"/>
      <c r="H17" s="29" t="s">
        <v>33</v>
      </c>
      <c r="I17" s="28"/>
      <c r="J17" s="29"/>
      <c r="K17" s="31"/>
      <c r="L17" s="29" t="s">
        <v>34</v>
      </c>
      <c r="M17" s="28"/>
      <c r="N17" s="28"/>
      <c r="O17" s="28"/>
      <c r="P17" s="29" t="s">
        <v>35</v>
      </c>
      <c r="Q17" s="31"/>
      <c r="R17" s="29" t="s">
        <v>36</v>
      </c>
      <c r="S17" s="28"/>
      <c r="T17" s="29" t="s">
        <v>37</v>
      </c>
      <c r="U17" s="31"/>
      <c r="V17" s="28"/>
    </row>
    <row r="18" spans="1:22" ht="16.5">
      <c r="A18" s="25" t="s">
        <v>6</v>
      </c>
      <c r="B18" s="16"/>
      <c r="C18" s="16"/>
      <c r="D18" s="32" t="s">
        <v>38</v>
      </c>
      <c r="E18" s="28"/>
      <c r="F18" s="29" t="s">
        <v>39</v>
      </c>
      <c r="G18" s="30"/>
      <c r="H18" s="29" t="s">
        <v>40</v>
      </c>
      <c r="I18" s="28"/>
      <c r="J18" s="29" t="s">
        <v>41</v>
      </c>
      <c r="K18" s="30"/>
      <c r="L18" s="29" t="s">
        <v>42</v>
      </c>
      <c r="M18" s="28"/>
      <c r="N18" s="29" t="s">
        <v>43</v>
      </c>
      <c r="O18" s="28"/>
      <c r="P18" s="29" t="s">
        <v>44</v>
      </c>
      <c r="Q18" s="31"/>
      <c r="R18" s="29" t="s">
        <v>45</v>
      </c>
      <c r="S18" s="28"/>
      <c r="T18" s="29" t="s">
        <v>46</v>
      </c>
      <c r="U18" s="31"/>
      <c r="V18" s="29" t="s">
        <v>47</v>
      </c>
    </row>
    <row r="19" spans="1:22" ht="16.5">
      <c r="A19" s="25" t="s">
        <v>48</v>
      </c>
      <c r="B19" s="16"/>
      <c r="C19" s="16"/>
      <c r="D19" s="29" t="s">
        <v>49</v>
      </c>
      <c r="E19" s="28"/>
      <c r="F19" s="29" t="s">
        <v>50</v>
      </c>
      <c r="G19" s="31"/>
      <c r="H19" s="29" t="s">
        <v>51</v>
      </c>
      <c r="I19" s="28"/>
      <c r="J19" s="29"/>
      <c r="K19" s="30"/>
      <c r="L19" s="29" t="s">
        <v>52</v>
      </c>
      <c r="M19" s="28"/>
      <c r="N19" s="29"/>
      <c r="O19" s="28"/>
      <c r="P19" s="29" t="s">
        <v>34</v>
      </c>
      <c r="Q19" s="31"/>
      <c r="R19" s="29" t="s">
        <v>53</v>
      </c>
      <c r="S19" s="28"/>
      <c r="T19" s="29" t="s">
        <v>54</v>
      </c>
      <c r="U19" s="31"/>
      <c r="V19" s="29" t="s">
        <v>46</v>
      </c>
    </row>
    <row r="20" spans="1:22" ht="17.25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6.5">
      <c r="A21" s="33">
        <v>1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4"/>
      <c r="U21" s="35"/>
      <c r="V21" s="24"/>
    </row>
    <row r="22" spans="1:22" ht="16.5">
      <c r="A22" s="29">
        <f aca="true" t="shared" si="0" ref="A22:A66">A21+1</f>
        <v>2</v>
      </c>
      <c r="B22" s="36" t="s">
        <v>55</v>
      </c>
      <c r="C22" s="16"/>
      <c r="D22" s="290">
        <f>+'B-6'!I30</f>
        <v>1228047.6147462102</v>
      </c>
      <c r="E22" s="290"/>
      <c r="F22" s="290">
        <f>+'B-6'!I42</f>
        <v>21634.564830984054</v>
      </c>
      <c r="G22" s="291"/>
      <c r="H22" s="291">
        <f>D22-F22</f>
        <v>1206413.0499152262</v>
      </c>
      <c r="I22" s="291"/>
      <c r="J22" s="295">
        <v>0</v>
      </c>
      <c r="K22" s="295"/>
      <c r="L22" s="295">
        <v>0</v>
      </c>
      <c r="M22" s="295"/>
      <c r="N22" s="295">
        <v>0</v>
      </c>
      <c r="O22" s="291"/>
      <c r="P22" s="291">
        <f>SUM(H22:O22)</f>
        <v>1206413.0499152262</v>
      </c>
      <c r="Q22" s="291"/>
      <c r="R22" s="295">
        <v>0</v>
      </c>
      <c r="S22" s="291"/>
      <c r="T22" s="291">
        <f>+'B-6'!I45</f>
        <v>-85746.8221964192</v>
      </c>
      <c r="U22" s="292"/>
      <c r="V22" s="292">
        <f>SUM(P22:U22)</f>
        <v>1120666.227718807</v>
      </c>
    </row>
    <row r="23" spans="1:22" ht="16.5">
      <c r="A23" s="29">
        <f t="shared" si="0"/>
        <v>3</v>
      </c>
      <c r="B23" s="28"/>
      <c r="C23" s="17"/>
      <c r="D23" s="47"/>
      <c r="E23" s="47"/>
      <c r="F23" s="47"/>
      <c r="G23" s="17"/>
      <c r="H23" s="17"/>
      <c r="I23" s="17"/>
      <c r="J23" s="296"/>
      <c r="K23" s="296"/>
      <c r="L23" s="296"/>
      <c r="M23" s="296"/>
      <c r="N23" s="296"/>
      <c r="O23" s="17"/>
      <c r="P23" s="17"/>
      <c r="Q23" s="17"/>
      <c r="R23" s="296"/>
      <c r="S23" s="17"/>
      <c r="T23" s="20"/>
      <c r="U23" s="17"/>
      <c r="V23" s="16"/>
    </row>
    <row r="24" spans="1:22" ht="16.5">
      <c r="A24" s="29">
        <f t="shared" si="0"/>
        <v>4</v>
      </c>
      <c r="B24" s="38" t="s">
        <v>118</v>
      </c>
      <c r="C24" s="39"/>
      <c r="D24" s="193">
        <f>+'B-6'!M30</f>
        <v>0.9488441571144435</v>
      </c>
      <c r="E24" s="193"/>
      <c r="F24" s="193">
        <f>+'B-6'!M42</f>
        <v>0.9499847294767176</v>
      </c>
      <c r="G24" s="86"/>
      <c r="H24" s="86">
        <f>IF(H22=0,0,H26/H22)</f>
        <v>0.9488237032684594</v>
      </c>
      <c r="I24" s="86"/>
      <c r="J24" s="297">
        <f>IF(J22=0,0,J26/J22)</f>
        <v>0</v>
      </c>
      <c r="K24" s="297"/>
      <c r="L24" s="297">
        <f>IF(L22=0,0,L26/L22)</f>
        <v>0</v>
      </c>
      <c r="M24" s="297"/>
      <c r="N24" s="297">
        <f>IF(N22=0,0,N26/N22)</f>
        <v>0</v>
      </c>
      <c r="O24" s="86"/>
      <c r="P24" s="86">
        <f>IF(P22=0,0,P26/P22)</f>
        <v>0.9488237032684594</v>
      </c>
      <c r="Q24" s="86"/>
      <c r="R24" s="297">
        <f>IF(R22=0,0,R26/R22)</f>
        <v>0</v>
      </c>
      <c r="S24" s="86"/>
      <c r="T24" s="193">
        <f>+'B-6'!M45</f>
        <v>0.9488237032684594</v>
      </c>
      <c r="U24" s="86"/>
      <c r="V24" s="86">
        <f>IF(V22=0,0,V26/V22)</f>
        <v>0.9488237032684593</v>
      </c>
    </row>
    <row r="25" spans="1:22" ht="16.5">
      <c r="A25" s="29">
        <f t="shared" si="0"/>
        <v>5</v>
      </c>
      <c r="B25" s="28"/>
      <c r="C25" s="39"/>
      <c r="D25" s="194"/>
      <c r="E25" s="48"/>
      <c r="F25" s="48"/>
      <c r="G25" s="39"/>
      <c r="H25" s="40"/>
      <c r="I25" s="39"/>
      <c r="J25" s="298"/>
      <c r="K25" s="298"/>
      <c r="L25" s="298"/>
      <c r="M25" s="298"/>
      <c r="N25" s="298"/>
      <c r="O25" s="37"/>
      <c r="P25" s="37"/>
      <c r="Q25" s="37"/>
      <c r="R25" s="298"/>
      <c r="S25" s="37"/>
      <c r="T25" s="46"/>
      <c r="U25" s="37"/>
      <c r="V25" s="37"/>
    </row>
    <row r="26" spans="1:22" ht="16.5">
      <c r="A26" s="29">
        <f t="shared" si="0"/>
        <v>6</v>
      </c>
      <c r="B26" s="36" t="s">
        <v>119</v>
      </c>
      <c r="C26" s="39"/>
      <c r="D26" s="49">
        <f>+'B-6'!K30</f>
        <v>1165225.8039102706</v>
      </c>
      <c r="E26" s="48"/>
      <c r="F26" s="49">
        <f>+'B-6'!K42</f>
        <v>20552.506218308896</v>
      </c>
      <c r="G26" s="48"/>
      <c r="H26" s="46">
        <f>D26-F26</f>
        <v>1144673.2976919618</v>
      </c>
      <c r="I26" s="48"/>
      <c r="J26" s="295">
        <v>0</v>
      </c>
      <c r="K26" s="295"/>
      <c r="L26" s="295">
        <v>0</v>
      </c>
      <c r="M26" s="295"/>
      <c r="N26" s="295">
        <v>0</v>
      </c>
      <c r="O26" s="46"/>
      <c r="P26" s="46">
        <f>SUM(H26:O26)</f>
        <v>1144673.2976919618</v>
      </c>
      <c r="Q26" s="46"/>
      <c r="R26" s="295">
        <v>0</v>
      </c>
      <c r="S26" s="46"/>
      <c r="T26" s="46">
        <f>+'B-6'!K45</f>
        <v>-81358.61737990861</v>
      </c>
      <c r="U26" s="37"/>
      <c r="V26" s="37">
        <f>SUM(P26:U26)</f>
        <v>1063314.680312053</v>
      </c>
    </row>
    <row r="27" spans="1:22" ht="16.5">
      <c r="A27" s="29">
        <f t="shared" si="0"/>
        <v>7</v>
      </c>
      <c r="B27" s="28"/>
      <c r="C27" s="39"/>
      <c r="D27" s="41"/>
      <c r="E27" s="41"/>
      <c r="F27" s="41"/>
      <c r="G27" s="41"/>
      <c r="H27" s="41"/>
      <c r="I27" s="41"/>
      <c r="J27" s="298"/>
      <c r="K27" s="298"/>
      <c r="L27" s="298"/>
      <c r="M27" s="298"/>
      <c r="N27" s="298"/>
      <c r="O27" s="37"/>
      <c r="P27" s="37"/>
      <c r="Q27" s="37"/>
      <c r="R27" s="298"/>
      <c r="S27" s="37"/>
      <c r="T27" s="37"/>
      <c r="U27" s="37"/>
      <c r="V27" s="37"/>
    </row>
    <row r="28" spans="1:22" ht="16.5">
      <c r="A28" s="29">
        <f t="shared" si="0"/>
        <v>8</v>
      </c>
      <c r="B28" s="36" t="s">
        <v>56</v>
      </c>
      <c r="C28" s="39"/>
      <c r="D28" s="297">
        <v>0</v>
      </c>
      <c r="E28" s="297"/>
      <c r="F28" s="297">
        <v>0</v>
      </c>
      <c r="G28" s="297"/>
      <c r="H28" s="297">
        <v>0</v>
      </c>
      <c r="I28" s="297"/>
      <c r="J28" s="297">
        <v>0</v>
      </c>
      <c r="K28" s="297"/>
      <c r="L28" s="297">
        <v>0</v>
      </c>
      <c r="M28" s="297"/>
      <c r="N28" s="297">
        <v>0</v>
      </c>
      <c r="O28" s="297"/>
      <c r="P28" s="297">
        <v>0</v>
      </c>
      <c r="Q28" s="297"/>
      <c r="R28" s="297">
        <v>0</v>
      </c>
      <c r="S28" s="297"/>
      <c r="T28" s="297">
        <v>0</v>
      </c>
      <c r="U28" s="297"/>
      <c r="V28" s="297">
        <v>0</v>
      </c>
    </row>
    <row r="29" spans="1:22" ht="16.5">
      <c r="A29" s="29">
        <f t="shared" si="0"/>
        <v>9</v>
      </c>
      <c r="B29" s="28"/>
      <c r="C29" s="39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</row>
    <row r="30" spans="1:22" ht="16.5">
      <c r="A30" s="29">
        <f t="shared" si="0"/>
        <v>10</v>
      </c>
      <c r="B30" s="36" t="s">
        <v>57</v>
      </c>
      <c r="C30" s="39"/>
      <c r="D30" s="297">
        <v>0</v>
      </c>
      <c r="E30" s="297"/>
      <c r="F30" s="297">
        <v>0</v>
      </c>
      <c r="G30" s="297"/>
      <c r="H30" s="297">
        <v>0</v>
      </c>
      <c r="I30" s="297"/>
      <c r="J30" s="297">
        <v>0</v>
      </c>
      <c r="K30" s="297"/>
      <c r="L30" s="297">
        <v>0</v>
      </c>
      <c r="M30" s="297"/>
      <c r="N30" s="297">
        <v>0</v>
      </c>
      <c r="O30" s="297"/>
      <c r="P30" s="297">
        <v>0</v>
      </c>
      <c r="Q30" s="297"/>
      <c r="R30" s="297">
        <v>0</v>
      </c>
      <c r="S30" s="297"/>
      <c r="T30" s="297">
        <v>0</v>
      </c>
      <c r="U30" s="297"/>
      <c r="V30" s="297">
        <v>0</v>
      </c>
    </row>
    <row r="31" spans="1:22" ht="16.5">
      <c r="A31" s="29">
        <f t="shared" si="0"/>
        <v>11</v>
      </c>
      <c r="B31" s="28"/>
      <c r="C31" s="42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</row>
    <row r="32" spans="1:22" ht="16.5">
      <c r="A32" s="29">
        <f t="shared" si="0"/>
        <v>12</v>
      </c>
      <c r="B32" s="36" t="s">
        <v>58</v>
      </c>
      <c r="C32" s="42"/>
      <c r="D32" s="297">
        <f>SUM(D28:D31)</f>
        <v>0</v>
      </c>
      <c r="E32" s="297"/>
      <c r="F32" s="297">
        <f>SUM(F28:F31)</f>
        <v>0</v>
      </c>
      <c r="G32" s="297"/>
      <c r="H32" s="297">
        <f>SUM(H28:H31)</f>
        <v>0</v>
      </c>
      <c r="I32" s="297"/>
      <c r="J32" s="297">
        <f>SUM(J28:J31)</f>
        <v>0</v>
      </c>
      <c r="K32" s="297"/>
      <c r="L32" s="297">
        <f>SUM(L28:L31)</f>
        <v>0</v>
      </c>
      <c r="M32" s="297"/>
      <c r="N32" s="297">
        <f>SUM(N28:N31)</f>
        <v>0</v>
      </c>
      <c r="O32" s="297"/>
      <c r="P32" s="297">
        <f>SUM(P28:P31)</f>
        <v>0</v>
      </c>
      <c r="Q32" s="297"/>
      <c r="R32" s="297">
        <f>SUM(R28:R31)</f>
        <v>0</v>
      </c>
      <c r="S32" s="297"/>
      <c r="T32" s="297">
        <f>SUM(T28:T31)</f>
        <v>0</v>
      </c>
      <c r="U32" s="297"/>
      <c r="V32" s="297">
        <f>SUM(V28:V31)</f>
        <v>0</v>
      </c>
    </row>
    <row r="33" spans="1:22" ht="16.5">
      <c r="A33" s="29">
        <f t="shared" si="0"/>
        <v>13</v>
      </c>
      <c r="B33" s="28"/>
      <c r="C33" s="39"/>
      <c r="D33" s="40"/>
      <c r="E33" s="40"/>
      <c r="F33" s="40"/>
      <c r="G33" s="40"/>
      <c r="H33" s="40"/>
      <c r="I33" s="40"/>
      <c r="J33" s="297"/>
      <c r="K33" s="297"/>
      <c r="L33" s="297"/>
      <c r="M33" s="297"/>
      <c r="N33" s="297"/>
      <c r="O33" s="40"/>
      <c r="P33" s="40"/>
      <c r="Q33" s="40"/>
      <c r="R33" s="297"/>
      <c r="S33" s="40"/>
      <c r="T33" s="40"/>
      <c r="U33" s="40"/>
      <c r="V33" s="40"/>
    </row>
    <row r="34" spans="1:22" ht="16.5">
      <c r="A34" s="29">
        <f t="shared" si="0"/>
        <v>14</v>
      </c>
      <c r="B34" s="36" t="s">
        <v>120</v>
      </c>
      <c r="C34" s="39"/>
      <c r="D34" s="294">
        <f>D26+D32</f>
        <v>1165225.8039102706</v>
      </c>
      <c r="E34" s="293"/>
      <c r="F34" s="294">
        <f>F26+F32</f>
        <v>20552.506218308896</v>
      </c>
      <c r="G34" s="293"/>
      <c r="H34" s="294">
        <f>H26+H32</f>
        <v>1144673.2976919618</v>
      </c>
      <c r="I34" s="39"/>
      <c r="J34" s="299">
        <f>J26+J32</f>
        <v>0</v>
      </c>
      <c r="K34" s="297"/>
      <c r="L34" s="299">
        <f>L26+L32</f>
        <v>0</v>
      </c>
      <c r="M34" s="297"/>
      <c r="N34" s="299">
        <f>N26+N32</f>
        <v>0</v>
      </c>
      <c r="O34" s="39"/>
      <c r="P34" s="294">
        <f>P26+P32</f>
        <v>1144673.2976919618</v>
      </c>
      <c r="Q34" s="39"/>
      <c r="R34" s="299">
        <f>R26+R32</f>
        <v>0</v>
      </c>
      <c r="S34" s="39"/>
      <c r="T34" s="294">
        <f>T26+T32</f>
        <v>-81358.61737990861</v>
      </c>
      <c r="U34" s="293"/>
      <c r="V34" s="294">
        <f>V26+V32</f>
        <v>1063314.680312053</v>
      </c>
    </row>
    <row r="35" spans="1:22" ht="16.5">
      <c r="A35" s="29">
        <f t="shared" si="0"/>
        <v>15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113"/>
      <c r="U35" s="39"/>
      <c r="V35" s="42"/>
    </row>
    <row r="36" spans="1:22" ht="16.5">
      <c r="A36" s="29">
        <f t="shared" si="0"/>
        <v>16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2"/>
    </row>
    <row r="37" spans="1:22" ht="16.5">
      <c r="A37" s="29">
        <f t="shared" si="0"/>
        <v>17</v>
      </c>
      <c r="B37" s="44"/>
      <c r="C37" s="44"/>
      <c r="D37" s="44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2"/>
    </row>
    <row r="38" spans="1:22" ht="16.5">
      <c r="A38" s="29">
        <f t="shared" si="0"/>
        <v>18</v>
      </c>
      <c r="B38" s="44"/>
      <c r="C38" s="44"/>
      <c r="D38" s="44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2"/>
    </row>
    <row r="39" spans="1:22" ht="15" customHeight="1">
      <c r="A39" s="29">
        <f t="shared" si="0"/>
        <v>19</v>
      </c>
      <c r="B39" s="228" t="s">
        <v>506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39"/>
      <c r="T39" s="39"/>
      <c r="U39" s="39"/>
      <c r="V39" s="42"/>
    </row>
    <row r="40" spans="1:22" ht="15" customHeight="1">
      <c r="A40" s="29">
        <f t="shared" si="0"/>
        <v>20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42"/>
    </row>
    <row r="41" spans="1:22" ht="16.5">
      <c r="A41" s="29">
        <f t="shared" si="0"/>
        <v>21</v>
      </c>
      <c r="B41" s="61" t="s">
        <v>248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42"/>
    </row>
    <row r="42" spans="1:22" ht="16.5">
      <c r="A42" s="29">
        <f t="shared" si="0"/>
        <v>22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42"/>
    </row>
    <row r="43" spans="1:22" ht="16.5">
      <c r="A43" s="29">
        <f t="shared" si="0"/>
        <v>23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42"/>
    </row>
    <row r="44" spans="1:21" ht="16.5">
      <c r="A44" s="29">
        <f t="shared" si="0"/>
        <v>24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6.5">
      <c r="A45" s="29">
        <f t="shared" si="0"/>
        <v>25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6.5">
      <c r="A46" s="29">
        <f t="shared" si="0"/>
        <v>26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6.5">
      <c r="A47" s="29">
        <f t="shared" si="0"/>
        <v>27</v>
      </c>
      <c r="B47" s="3"/>
      <c r="C47" s="3"/>
      <c r="D47" s="3"/>
      <c r="E47" s="3"/>
      <c r="F47" s="3"/>
      <c r="G47" s="3"/>
      <c r="I47" s="3"/>
      <c r="J47" s="3"/>
      <c r="K47" s="3"/>
      <c r="L47" s="3"/>
      <c r="M47" s="3"/>
      <c r="O47" s="3"/>
      <c r="P47" s="3"/>
      <c r="Q47" s="3"/>
      <c r="R47" s="3"/>
      <c r="S47" s="3"/>
      <c r="U47" s="3"/>
    </row>
    <row r="48" spans="1:21" ht="16.5">
      <c r="A48" s="29">
        <f t="shared" si="0"/>
        <v>28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6.5">
      <c r="A49" s="29">
        <f t="shared" si="0"/>
        <v>29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U49" s="3"/>
    </row>
    <row r="50" spans="1:21" ht="16.5">
      <c r="A50" s="29">
        <f t="shared" si="0"/>
        <v>30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U50" s="3"/>
    </row>
    <row r="51" spans="1:21" ht="16.5">
      <c r="A51" s="29">
        <f t="shared" si="0"/>
        <v>31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U51" s="3"/>
    </row>
    <row r="52" spans="1:21" ht="16.5">
      <c r="A52" s="29">
        <f t="shared" si="0"/>
        <v>32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6.5">
      <c r="A53" s="29">
        <f t="shared" si="0"/>
        <v>33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6.5">
      <c r="A54" s="29">
        <f t="shared" si="0"/>
        <v>34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6.5">
      <c r="A55" s="29">
        <f t="shared" si="0"/>
        <v>35</v>
      </c>
      <c r="B55" s="3"/>
      <c r="C55" s="3"/>
      <c r="D55" s="3"/>
      <c r="E55" s="3"/>
      <c r="F55" s="3"/>
      <c r="G55" s="3"/>
      <c r="I55" s="3"/>
      <c r="J55" s="3"/>
      <c r="K55" s="3"/>
      <c r="L55" s="3"/>
      <c r="M55" s="3"/>
      <c r="O55" s="3"/>
      <c r="P55" s="3"/>
      <c r="Q55" s="3"/>
      <c r="R55" s="3"/>
      <c r="S55" s="3"/>
      <c r="U55" s="3"/>
    </row>
    <row r="56" spans="1:21" ht="16.5">
      <c r="A56" s="29">
        <f t="shared" si="0"/>
        <v>36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6.5">
      <c r="A57" s="29">
        <f t="shared" si="0"/>
        <v>37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U57" s="3"/>
    </row>
    <row r="58" spans="1:21" ht="16.5">
      <c r="A58" s="29">
        <f t="shared" si="0"/>
        <v>38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U58" s="3"/>
    </row>
    <row r="59" spans="1:21" ht="16.5">
      <c r="A59" s="29">
        <f t="shared" si="0"/>
        <v>39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U59" s="3"/>
    </row>
    <row r="60" spans="1:21" ht="16.5">
      <c r="A60" s="29">
        <f t="shared" si="0"/>
        <v>40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6.5">
      <c r="A61" s="29">
        <f t="shared" si="0"/>
        <v>41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6.5">
      <c r="A62" s="29">
        <f t="shared" si="0"/>
        <v>42</v>
      </c>
      <c r="B62" s="3"/>
      <c r="C62" s="3"/>
      <c r="D62" s="3"/>
      <c r="E62" s="3"/>
      <c r="F62" s="3"/>
      <c r="G62" s="3"/>
      <c r="I62" s="3"/>
      <c r="J62" s="3"/>
      <c r="K62" s="3"/>
      <c r="L62" s="3"/>
      <c r="M62" s="3"/>
      <c r="O62" s="3"/>
      <c r="P62" s="3"/>
      <c r="Q62" s="3"/>
      <c r="R62" s="3"/>
      <c r="S62" s="3"/>
      <c r="U62" s="3"/>
    </row>
    <row r="63" spans="1:21" ht="16.5">
      <c r="A63" s="29">
        <f t="shared" si="0"/>
        <v>43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6.5">
      <c r="A64" s="29">
        <f t="shared" si="0"/>
        <v>44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U64" s="3"/>
    </row>
    <row r="65" spans="1:21" ht="16.5">
      <c r="A65" s="29">
        <f t="shared" si="0"/>
        <v>45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U65" s="3"/>
    </row>
    <row r="66" spans="1:21" ht="16.5">
      <c r="A66" s="29">
        <f t="shared" si="0"/>
        <v>46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U66" s="3"/>
    </row>
    <row r="67" spans="1:21" ht="12.75">
      <c r="A67" s="1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U67" s="3"/>
    </row>
    <row r="68" spans="1:21" ht="12.75">
      <c r="A68" s="1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U68" s="3"/>
    </row>
    <row r="69" spans="1:21" ht="12.75">
      <c r="A69" s="1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U69" s="3"/>
    </row>
    <row r="70" spans="1:21" ht="409.5">
      <c r="A70" s="1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U70" s="3"/>
    </row>
    <row r="71" ht="13.5" thickBot="1"/>
    <row r="72" spans="1:22" ht="409.5">
      <c r="A72" s="10"/>
      <c r="B72" s="12" t="s">
        <v>59</v>
      </c>
      <c r="C72" s="10" t="s">
        <v>125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3"/>
      <c r="P72" s="14"/>
      <c r="Q72" s="14"/>
      <c r="R72" s="6" t="s">
        <v>14</v>
      </c>
      <c r="S72" s="10"/>
      <c r="T72" s="10" t="s">
        <v>1</v>
      </c>
      <c r="U72" s="10"/>
      <c r="V72" s="6"/>
    </row>
    <row r="74" spans="1:2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</sheetData>
  <sheetProtection/>
  <mergeCells count="2">
    <mergeCell ref="J13:L13"/>
    <mergeCell ref="B9:D10"/>
  </mergeCells>
  <printOptions horizontalCentered="1"/>
  <pageMargins left="0.5" right="0.5" top="0.75" bottom="0.5" header="0" footer="0"/>
  <pageSetup fitToHeight="1" fitToWidth="1" horizontalDpi="600" verticalDpi="600" orientation="landscape" scale="47" r:id="rId1"/>
  <ignoredErrors>
    <ignoredError sqref="D23:V23 D25:V25 D24:H24 I24:V24 D22:Q22 S22:V22 D27:V34 D26:Q26 S26:V26" unlockedFormula="1"/>
    <ignoredError sqref="D15:V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63"/>
  <sheetViews>
    <sheetView showGridLines="0" showOutlineSymbols="0" zoomScale="70" zoomScaleNormal="70" zoomScaleSheetLayoutView="70" zoomScalePageLayoutView="0" workbookViewId="0" topLeftCell="A1">
      <selection activeCell="A2" sqref="A2"/>
    </sheetView>
  </sheetViews>
  <sheetFormatPr defaultColWidth="9.6640625" defaultRowHeight="15"/>
  <cols>
    <col min="1" max="4" width="9.6640625" style="2" customWidth="1"/>
    <col min="5" max="5" width="17.4453125" style="2" customWidth="1"/>
    <col min="6" max="6" width="11.3359375" style="2" customWidth="1"/>
    <col min="7" max="7" width="4.77734375" style="2" customWidth="1"/>
    <col min="8" max="8" width="9.6640625" style="2" customWidth="1"/>
    <col min="9" max="9" width="12.77734375" style="2" customWidth="1"/>
    <col min="10" max="10" width="5.77734375" style="2" customWidth="1"/>
    <col min="11" max="11" width="12.77734375" style="2" customWidth="1"/>
    <col min="12" max="12" width="5.77734375" style="2" customWidth="1"/>
    <col min="13" max="13" width="15.4453125" style="2" customWidth="1"/>
    <col min="14" max="14" width="9.6640625" style="2" customWidth="1"/>
    <col min="15" max="15" width="19.3359375" style="2" customWidth="1"/>
    <col min="16" max="16" width="10.99609375" style="2" customWidth="1"/>
    <col min="17" max="17" width="10.6640625" style="2" customWidth="1"/>
    <col min="18" max="16384" width="9.6640625" style="2" customWidth="1"/>
  </cols>
  <sheetData>
    <row r="1" s="262" customFormat="1" ht="12.75">
      <c r="A1" s="262" t="s">
        <v>573</v>
      </c>
    </row>
    <row r="2" s="262" customFormat="1" ht="12.75">
      <c r="A2" s="262" t="s">
        <v>571</v>
      </c>
    </row>
    <row r="3" s="262" customFormat="1" ht="12.75"/>
    <row r="4" spans="1:16" ht="16.5">
      <c r="A4" s="16" t="s">
        <v>268</v>
      </c>
      <c r="B4" s="3"/>
      <c r="E4" s="3"/>
      <c r="F4" s="3"/>
      <c r="G4" s="17" t="s">
        <v>269</v>
      </c>
      <c r="H4" s="3"/>
      <c r="I4" s="3"/>
      <c r="J4" s="3"/>
      <c r="K4" s="3"/>
      <c r="P4" s="18" t="s">
        <v>285</v>
      </c>
    </row>
    <row r="5" spans="1:17" ht="17.25" thickBot="1">
      <c r="A5" s="119" t="str">
        <f>+'A-1'!A5</f>
        <v>2019 Okeechobee Limited Scope Adjustment</v>
      </c>
      <c r="P5" s="128"/>
      <c r="Q5" s="7"/>
    </row>
    <row r="6" spans="1:1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</row>
    <row r="7" spans="1:17" ht="16.5">
      <c r="A7" s="16" t="s">
        <v>2</v>
      </c>
      <c r="B7" s="16"/>
      <c r="C7" s="16"/>
      <c r="D7" s="16"/>
      <c r="E7" s="16"/>
      <c r="F7" s="16" t="s">
        <v>61</v>
      </c>
      <c r="G7" s="16"/>
      <c r="H7" s="17" t="s">
        <v>270</v>
      </c>
      <c r="I7" s="17"/>
      <c r="J7" s="17"/>
      <c r="K7" s="17"/>
      <c r="L7" s="16"/>
      <c r="M7" s="16" t="s">
        <v>5</v>
      </c>
      <c r="N7" s="16"/>
      <c r="O7" s="16"/>
      <c r="P7" s="7"/>
      <c r="Q7" s="7"/>
    </row>
    <row r="8" spans="1:17" ht="16.5">
      <c r="A8" s="16"/>
      <c r="B8" s="16"/>
      <c r="C8" s="16"/>
      <c r="D8" s="16"/>
      <c r="E8" s="16"/>
      <c r="F8" s="16"/>
      <c r="G8" s="17"/>
      <c r="H8" s="17" t="s">
        <v>271</v>
      </c>
      <c r="I8" s="17"/>
      <c r="J8" s="17"/>
      <c r="K8" s="17"/>
      <c r="L8" s="16"/>
      <c r="M8" s="16"/>
      <c r="N8" s="16"/>
      <c r="O8" s="16"/>
      <c r="P8" s="7"/>
      <c r="Q8" s="7"/>
    </row>
    <row r="9" spans="1:17" ht="16.5">
      <c r="A9" s="16" t="s">
        <v>249</v>
      </c>
      <c r="B9" s="115"/>
      <c r="C9" s="115"/>
      <c r="D9" s="115"/>
      <c r="E9" s="16"/>
      <c r="F9" s="16"/>
      <c r="G9" s="17"/>
      <c r="H9" s="286" t="s">
        <v>499</v>
      </c>
      <c r="I9" s="17"/>
      <c r="J9" s="17"/>
      <c r="K9" s="17"/>
      <c r="L9" s="16"/>
      <c r="M9" s="236" t="s">
        <v>510</v>
      </c>
      <c r="N9" s="16"/>
      <c r="O9" s="16"/>
      <c r="P9" s="7"/>
      <c r="Q9" s="7"/>
    </row>
    <row r="10" spans="1:17" ht="16.5">
      <c r="A10" s="16" t="s">
        <v>272</v>
      </c>
      <c r="B10" s="115"/>
      <c r="C10" s="115"/>
      <c r="D10" s="115"/>
      <c r="E10" s="17"/>
      <c r="F10" s="17"/>
      <c r="G10" s="17"/>
      <c r="H10" s="17"/>
      <c r="I10" s="17"/>
      <c r="J10" s="17"/>
      <c r="K10" s="17"/>
      <c r="L10" s="16"/>
      <c r="M10" s="16"/>
      <c r="N10" s="16"/>
      <c r="O10" s="16"/>
      <c r="P10" s="7"/>
      <c r="Q10" s="7"/>
    </row>
    <row r="11" spans="1:17" ht="16.5">
      <c r="A11" s="16"/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6"/>
      <c r="M11" s="20" t="s">
        <v>486</v>
      </c>
      <c r="N11" s="20"/>
      <c r="O11" s="20"/>
      <c r="P11" s="7"/>
      <c r="Q11" s="7"/>
    </row>
    <row r="12" spans="1:17" ht="16.5">
      <c r="A12" s="85" t="str">
        <f>+'A-1'!A12</f>
        <v>DOCKET NO.: 160021-EI</v>
      </c>
      <c r="B12" s="85"/>
      <c r="C12" s="42"/>
      <c r="D12" s="42"/>
      <c r="E12" s="17"/>
      <c r="F12" s="17"/>
      <c r="G12" s="17"/>
      <c r="H12" s="17"/>
      <c r="I12" s="17"/>
      <c r="J12" s="17"/>
      <c r="K12" s="17"/>
      <c r="L12" s="16"/>
      <c r="M12" s="85"/>
      <c r="N12" s="20"/>
      <c r="O12" s="20"/>
      <c r="P12" s="7"/>
      <c r="Q12" s="7"/>
    </row>
    <row r="13" spans="1:17" ht="17.2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28"/>
      <c r="Q13" s="7"/>
    </row>
    <row r="14" spans="1:17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7"/>
      <c r="Q14" s="7"/>
    </row>
    <row r="15" spans="1:17" ht="16.5">
      <c r="A15" s="42"/>
      <c r="B15" s="42"/>
      <c r="C15" s="129" t="s">
        <v>21</v>
      </c>
      <c r="D15" s="42"/>
      <c r="E15" s="42"/>
      <c r="F15" s="42"/>
      <c r="G15" s="42"/>
      <c r="H15" s="42"/>
      <c r="I15" s="129" t="s">
        <v>22</v>
      </c>
      <c r="J15" s="42"/>
      <c r="K15" s="129" t="s">
        <v>23</v>
      </c>
      <c r="L15" s="42"/>
      <c r="M15" s="129" t="s">
        <v>24</v>
      </c>
      <c r="N15" s="129"/>
      <c r="O15" s="42"/>
      <c r="P15" s="7"/>
      <c r="Q15" s="7"/>
    </row>
    <row r="16" spans="1:17" ht="16.5">
      <c r="A16" s="25" t="s">
        <v>6</v>
      </c>
      <c r="B16" s="17"/>
      <c r="C16" s="17"/>
      <c r="D16" s="17"/>
      <c r="E16" s="17"/>
      <c r="F16" s="17"/>
      <c r="G16" s="16"/>
      <c r="H16" s="16"/>
      <c r="I16" s="25" t="s">
        <v>66</v>
      </c>
      <c r="J16" s="17"/>
      <c r="K16" s="25" t="s">
        <v>135</v>
      </c>
      <c r="L16" s="130"/>
      <c r="M16" s="27" t="s">
        <v>67</v>
      </c>
      <c r="N16" s="130"/>
      <c r="O16" s="79"/>
      <c r="P16" s="7"/>
      <c r="Q16" s="7"/>
    </row>
    <row r="17" spans="1:17" ht="16.5">
      <c r="A17" s="25" t="s">
        <v>48</v>
      </c>
      <c r="B17" s="608" t="s">
        <v>8</v>
      </c>
      <c r="C17" s="608"/>
      <c r="D17" s="608"/>
      <c r="E17" s="17"/>
      <c r="F17" s="17"/>
      <c r="G17" s="16"/>
      <c r="H17" s="16"/>
      <c r="I17" s="25" t="s">
        <v>138</v>
      </c>
      <c r="J17" s="17"/>
      <c r="K17" s="25" t="s">
        <v>67</v>
      </c>
      <c r="L17" s="130"/>
      <c r="M17" s="27" t="s">
        <v>74</v>
      </c>
      <c r="N17" s="130"/>
      <c r="O17" s="79"/>
      <c r="P17" s="7"/>
      <c r="Q17" s="7"/>
    </row>
    <row r="18" spans="1:17" ht="17.25" thickBot="1">
      <c r="A18" s="17"/>
      <c r="B18" s="17"/>
      <c r="C18" s="17"/>
      <c r="D18" s="17"/>
      <c r="E18" s="17"/>
      <c r="F18" s="17"/>
      <c r="G18" s="17"/>
      <c r="H18" s="17"/>
      <c r="I18" s="131" t="s">
        <v>63</v>
      </c>
      <c r="J18" s="16"/>
      <c r="K18" s="131" t="s">
        <v>63</v>
      </c>
      <c r="L18" s="16"/>
      <c r="M18" s="25" t="s">
        <v>273</v>
      </c>
      <c r="N18" s="17"/>
      <c r="O18" s="17"/>
      <c r="P18" s="128"/>
      <c r="Q18" s="7"/>
    </row>
    <row r="19" spans="1:17" ht="16.5">
      <c r="A19" s="80">
        <v>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7"/>
      <c r="Q19" s="7"/>
    </row>
    <row r="20" spans="1:15" ht="16.5">
      <c r="A20" s="25">
        <f aca="true" t="shared" si="0" ref="A20:A58">IF(A19&lt;0,1,A19+1)</f>
        <v>2</v>
      </c>
      <c r="B20" s="114" t="s">
        <v>550</v>
      </c>
      <c r="C20" s="16"/>
      <c r="D20" s="39"/>
      <c r="E20" s="132"/>
      <c r="F20" s="132"/>
      <c r="G20" s="132"/>
      <c r="H20" s="39"/>
      <c r="I20" s="41"/>
      <c r="J20" s="41"/>
      <c r="K20" s="41"/>
      <c r="L20" s="17"/>
      <c r="M20" s="454"/>
      <c r="N20" s="16"/>
      <c r="O20" s="16"/>
    </row>
    <row r="21" spans="1:15" ht="16.5">
      <c r="A21" s="25">
        <f t="shared" si="0"/>
        <v>3</v>
      </c>
      <c r="M21" s="455"/>
      <c r="N21" s="20"/>
      <c r="O21" s="20"/>
    </row>
    <row r="22" spans="1:15" ht="16.5">
      <c r="A22" s="25">
        <f t="shared" si="0"/>
        <v>4</v>
      </c>
      <c r="B22" s="39" t="s">
        <v>274</v>
      </c>
      <c r="C22" s="16"/>
      <c r="D22" s="42"/>
      <c r="E22" s="16"/>
      <c r="F22" s="16"/>
      <c r="G22" s="16"/>
      <c r="H22" s="16"/>
      <c r="I22" s="49">
        <f>+'B-8 '!R24</f>
        <v>1145575.093896611</v>
      </c>
      <c r="J22" s="134"/>
      <c r="K22" s="134">
        <f>I22*M22</f>
        <v>1089766.9565937447</v>
      </c>
      <c r="L22" s="42"/>
      <c r="M22" s="477">
        <f>+'Juris Factors'!D8</f>
        <v>0.9512837372249096</v>
      </c>
      <c r="N22" s="20"/>
      <c r="O22" s="20"/>
    </row>
    <row r="23" spans="1:15" ht="16.5">
      <c r="A23" s="25">
        <f t="shared" si="0"/>
        <v>5</v>
      </c>
      <c r="B23" s="39" t="s">
        <v>274</v>
      </c>
      <c r="C23" s="16"/>
      <c r="D23" s="39"/>
      <c r="E23" s="16"/>
      <c r="F23" s="16"/>
      <c r="G23" s="16"/>
      <c r="H23" s="16"/>
      <c r="I23" s="43">
        <f>SUM(I22:I22)</f>
        <v>1145575.093896611</v>
      </c>
      <c r="J23" s="41"/>
      <c r="K23" s="43">
        <f>SUM(K22:K22)</f>
        <v>1089766.9565937447</v>
      </c>
      <c r="L23" s="39"/>
      <c r="M23" s="456">
        <f>IF(I23=0,0,K23/I23)</f>
        <v>0.9512837372249096</v>
      </c>
      <c r="N23" s="16"/>
      <c r="O23" s="16"/>
    </row>
    <row r="24" spans="1:15" ht="16.5">
      <c r="A24" s="25">
        <f t="shared" si="0"/>
        <v>6</v>
      </c>
      <c r="B24" s="39"/>
      <c r="C24" s="16"/>
      <c r="D24" s="39"/>
      <c r="E24" s="16"/>
      <c r="F24" s="16"/>
      <c r="G24" s="16"/>
      <c r="H24" s="16"/>
      <c r="I24" s="41"/>
      <c r="J24" s="41"/>
      <c r="K24" s="41"/>
      <c r="L24" s="39"/>
      <c r="M24" s="457"/>
      <c r="N24" s="16"/>
      <c r="O24" s="16"/>
    </row>
    <row r="25" spans="1:15" ht="16.5">
      <c r="A25" s="25">
        <f t="shared" si="0"/>
        <v>7</v>
      </c>
      <c r="B25" s="39" t="s">
        <v>275</v>
      </c>
      <c r="C25" s="16"/>
      <c r="D25" s="39"/>
      <c r="E25" s="16"/>
      <c r="F25" s="16"/>
      <c r="G25" s="16"/>
      <c r="H25" s="16"/>
      <c r="I25" s="49">
        <f>+'B-8 '!R27</f>
        <v>57012.46328965007</v>
      </c>
      <c r="J25" s="41"/>
      <c r="K25" s="134">
        <f>I25*M25</f>
        <v>51239.108610936106</v>
      </c>
      <c r="L25" s="39"/>
      <c r="M25" s="456">
        <f>+'Juris Factors'!D9</f>
        <v>0.8987352177824239</v>
      </c>
      <c r="N25" s="16"/>
      <c r="O25" s="16"/>
    </row>
    <row r="26" spans="1:15" ht="16.5">
      <c r="A26" s="25">
        <f t="shared" si="0"/>
        <v>8</v>
      </c>
      <c r="B26" s="114" t="s">
        <v>556</v>
      </c>
      <c r="C26" s="16"/>
      <c r="D26" s="39"/>
      <c r="E26" s="16"/>
      <c r="F26" s="16"/>
      <c r="G26" s="16"/>
      <c r="H26" s="16"/>
      <c r="I26" s="539">
        <f>+'B-8 '!R28</f>
        <v>25460.057559949295</v>
      </c>
      <c r="J26" s="297"/>
      <c r="K26" s="134">
        <f>I26*M26</f>
        <v>24219.738705589876</v>
      </c>
      <c r="L26" s="297"/>
      <c r="M26" s="477">
        <f>+M22</f>
        <v>0.9512837372249096</v>
      </c>
      <c r="N26" s="16"/>
      <c r="O26" s="16"/>
    </row>
    <row r="27" spans="1:15" ht="16.5">
      <c r="A27" s="25">
        <f t="shared" si="0"/>
        <v>9</v>
      </c>
      <c r="B27" s="42" t="s">
        <v>275</v>
      </c>
      <c r="C27" s="16"/>
      <c r="D27" s="39"/>
      <c r="E27" s="16"/>
      <c r="F27" s="16"/>
      <c r="G27" s="16"/>
      <c r="H27" s="16"/>
      <c r="I27" s="43">
        <f>SUM(I25:I26)</f>
        <v>82472.52084959936</v>
      </c>
      <c r="J27" s="41"/>
      <c r="K27" s="43">
        <f>SUM(K25:K26)</f>
        <v>75458.84731652598</v>
      </c>
      <c r="L27" s="39"/>
      <c r="M27" s="456">
        <f>IF(I27=0,0,K27/I27)</f>
        <v>0.9149574493319559</v>
      </c>
      <c r="N27" s="16"/>
      <c r="O27" s="16"/>
    </row>
    <row r="28" spans="1:20" ht="16.5">
      <c r="A28" s="25">
        <f t="shared" si="0"/>
        <v>10</v>
      </c>
      <c r="M28" s="455"/>
      <c r="N28" s="20"/>
      <c r="O28" s="20"/>
      <c r="P28" s="21"/>
      <c r="Q28" s="21"/>
      <c r="R28" s="21"/>
      <c r="S28" s="21"/>
      <c r="T28" s="21"/>
    </row>
    <row r="29" spans="1:15" ht="16.5">
      <c r="A29" s="25">
        <f t="shared" si="0"/>
        <v>11</v>
      </c>
      <c r="M29" s="542"/>
      <c r="N29" s="16"/>
      <c r="O29" s="16"/>
    </row>
    <row r="30" spans="1:15" ht="16.5">
      <c r="A30" s="25">
        <f t="shared" si="0"/>
        <v>12</v>
      </c>
      <c r="B30" s="114" t="s">
        <v>552</v>
      </c>
      <c r="C30" s="16"/>
      <c r="D30" s="39"/>
      <c r="E30" s="16"/>
      <c r="F30" s="16"/>
      <c r="G30" s="16"/>
      <c r="H30" s="16"/>
      <c r="I30" s="43">
        <f>+I23+I27</f>
        <v>1228047.6147462102</v>
      </c>
      <c r="J30" s="41"/>
      <c r="K30" s="43">
        <f>+K23+K27</f>
        <v>1165225.8039102706</v>
      </c>
      <c r="L30" s="39"/>
      <c r="M30" s="456">
        <f>IF(I30=0,0,K30/I30)</f>
        <v>0.9488441571144435</v>
      </c>
      <c r="N30" s="16"/>
      <c r="O30" s="16"/>
    </row>
    <row r="31" spans="1:15" ht="16.5">
      <c r="A31" s="25">
        <f t="shared" si="0"/>
        <v>13</v>
      </c>
      <c r="N31" s="16"/>
      <c r="O31" s="16"/>
    </row>
    <row r="32" spans="1:15" ht="16.5">
      <c r="A32" s="25">
        <f t="shared" si="0"/>
        <v>14</v>
      </c>
      <c r="N32" s="16"/>
      <c r="O32" s="16"/>
    </row>
    <row r="33" spans="1:15" ht="16.5">
      <c r="A33" s="25">
        <f t="shared" si="0"/>
        <v>15</v>
      </c>
      <c r="B33" s="114" t="s">
        <v>551</v>
      </c>
      <c r="M33" s="455"/>
      <c r="N33" s="16"/>
      <c r="O33" s="16"/>
    </row>
    <row r="34" spans="1:15" ht="16.5">
      <c r="A34" s="25">
        <f t="shared" si="0"/>
        <v>16</v>
      </c>
      <c r="B34" s="39"/>
      <c r="C34" s="16"/>
      <c r="D34" s="39"/>
      <c r="E34" s="16"/>
      <c r="F34" s="16"/>
      <c r="G34" s="16"/>
      <c r="H34" s="16"/>
      <c r="I34" s="41"/>
      <c r="J34" s="41"/>
      <c r="K34" s="41"/>
      <c r="L34" s="39"/>
      <c r="M34" s="457"/>
      <c r="N34" s="16"/>
      <c r="O34" s="16"/>
    </row>
    <row r="35" spans="1:15" ht="16.5">
      <c r="A35" s="25">
        <f t="shared" si="0"/>
        <v>17</v>
      </c>
      <c r="B35" s="114" t="s">
        <v>276</v>
      </c>
      <c r="C35" s="16"/>
      <c r="D35" s="42"/>
      <c r="E35" s="16"/>
      <c r="F35" s="16"/>
      <c r="G35" s="16"/>
      <c r="H35" s="16"/>
      <c r="I35" s="49">
        <f>+'B-10 '!R25</f>
        <v>20649.111932801057</v>
      </c>
      <c r="J35" s="134"/>
      <c r="K35" s="134">
        <f>I35*M35</f>
        <v>19643.164369810464</v>
      </c>
      <c r="L35" s="42"/>
      <c r="M35" s="477">
        <f>+'Juris Factors'!D11</f>
        <v>0.9512837372249096</v>
      </c>
      <c r="N35" s="16"/>
      <c r="O35" s="16"/>
    </row>
    <row r="36" spans="1:15" ht="16.5">
      <c r="A36" s="25">
        <f t="shared" si="0"/>
        <v>18</v>
      </c>
      <c r="B36" s="39" t="s">
        <v>276</v>
      </c>
      <c r="C36" s="16"/>
      <c r="D36" s="39"/>
      <c r="E36" s="16"/>
      <c r="F36" s="16"/>
      <c r="G36" s="16"/>
      <c r="H36" s="16"/>
      <c r="I36" s="43">
        <f>SUM(I35:I35)</f>
        <v>20649.111932801057</v>
      </c>
      <c r="J36" s="41"/>
      <c r="K36" s="43">
        <f>SUM(K35:K35)</f>
        <v>19643.164369810464</v>
      </c>
      <c r="L36" s="39"/>
      <c r="M36" s="456">
        <f>IF(I36=0,0,K36/I36)</f>
        <v>0.9512837372249094</v>
      </c>
      <c r="N36" s="16"/>
      <c r="O36" s="16"/>
    </row>
    <row r="37" spans="1:15" ht="16.5">
      <c r="A37" s="25">
        <f t="shared" si="0"/>
        <v>19</v>
      </c>
      <c r="N37" s="20"/>
      <c r="O37" s="20"/>
    </row>
    <row r="38" spans="1:15" ht="16.5">
      <c r="A38" s="25">
        <f t="shared" si="0"/>
        <v>20</v>
      </c>
      <c r="B38" s="39" t="s">
        <v>279</v>
      </c>
      <c r="C38" s="16"/>
      <c r="D38" s="39"/>
      <c r="E38" s="16"/>
      <c r="F38" s="16"/>
      <c r="G38" s="16"/>
      <c r="H38" s="16"/>
      <c r="I38" s="49">
        <f>'B-10 '!R28</f>
        <v>534.8098793718954</v>
      </c>
      <c r="J38" s="41"/>
      <c r="K38" s="134">
        <f>I38*M38</f>
        <v>480.65247340949225</v>
      </c>
      <c r="L38" s="39"/>
      <c r="M38" s="456">
        <f>+'Juris Factors'!D12</f>
        <v>0.8987352177824239</v>
      </c>
      <c r="N38" s="20"/>
      <c r="O38" s="20"/>
    </row>
    <row r="39" spans="1:15" ht="16.5">
      <c r="A39" s="25">
        <f t="shared" si="0"/>
        <v>21</v>
      </c>
      <c r="B39" s="114" t="s">
        <v>561</v>
      </c>
      <c r="C39" s="16"/>
      <c r="D39" s="39"/>
      <c r="E39" s="16"/>
      <c r="F39" s="16"/>
      <c r="G39" s="16"/>
      <c r="H39" s="16"/>
      <c r="I39" s="539">
        <f>'B-10 '!R29</f>
        <v>450.64301881110265</v>
      </c>
      <c r="J39" s="297"/>
      <c r="K39" s="134">
        <f>I39*M39</f>
        <v>428.68937508894095</v>
      </c>
      <c r="L39" s="297"/>
      <c r="M39" s="477">
        <f>+M35</f>
        <v>0.9512837372249096</v>
      </c>
      <c r="N39" s="16"/>
      <c r="O39" s="16"/>
    </row>
    <row r="40" spans="1:15" ht="16.5">
      <c r="A40" s="25">
        <f t="shared" si="0"/>
        <v>22</v>
      </c>
      <c r="B40" s="42" t="s">
        <v>279</v>
      </c>
      <c r="C40" s="16"/>
      <c r="D40" s="39"/>
      <c r="E40" s="16"/>
      <c r="F40" s="16"/>
      <c r="G40" s="16"/>
      <c r="H40" s="16"/>
      <c r="I40" s="43">
        <f>SUM(I38:I39)</f>
        <v>985.4528981829981</v>
      </c>
      <c r="J40" s="41"/>
      <c r="K40" s="43">
        <f>SUM(K38:K39)</f>
        <v>909.3418484984331</v>
      </c>
      <c r="L40" s="39"/>
      <c r="M40" s="456">
        <f>IF(I40=0,0,K40/I40)</f>
        <v>0.922765410883767</v>
      </c>
      <c r="N40" s="16"/>
      <c r="O40" s="16"/>
    </row>
    <row r="41" spans="1:15" ht="16.5">
      <c r="A41" s="25">
        <f t="shared" si="0"/>
        <v>23</v>
      </c>
      <c r="B41" s="39"/>
      <c r="C41" s="16"/>
      <c r="D41" s="39"/>
      <c r="E41" s="16"/>
      <c r="F41" s="16"/>
      <c r="G41" s="16"/>
      <c r="H41" s="16"/>
      <c r="I41" s="41"/>
      <c r="J41" s="41"/>
      <c r="K41" s="41"/>
      <c r="L41" s="39"/>
      <c r="M41" s="507"/>
      <c r="N41" s="16"/>
      <c r="O41" s="16"/>
    </row>
    <row r="42" spans="1:15" ht="16.5">
      <c r="A42" s="25">
        <f t="shared" si="0"/>
        <v>24</v>
      </c>
      <c r="B42" s="114" t="s">
        <v>553</v>
      </c>
      <c r="C42" s="16"/>
      <c r="D42" s="39"/>
      <c r="E42" s="16"/>
      <c r="F42" s="16"/>
      <c r="G42" s="16"/>
      <c r="H42" s="16"/>
      <c r="I42" s="43">
        <f>I36+I40</f>
        <v>21634.564830984054</v>
      </c>
      <c r="J42" s="41"/>
      <c r="K42" s="43">
        <f>K36+K40</f>
        <v>20552.506218308896</v>
      </c>
      <c r="L42" s="39"/>
      <c r="M42" s="456">
        <f>IF(I42=0,0,K42/I42)</f>
        <v>0.9499847294767176</v>
      </c>
      <c r="N42" s="16"/>
      <c r="O42" s="16"/>
    </row>
    <row r="43" spans="1:21" ht="16.5">
      <c r="A43" s="25">
        <f t="shared" si="0"/>
        <v>25</v>
      </c>
      <c r="N43" s="16"/>
      <c r="O43" s="16"/>
      <c r="P43" s="21"/>
      <c r="Q43" s="21"/>
      <c r="R43" s="21"/>
      <c r="S43" s="21"/>
      <c r="T43" s="21"/>
      <c r="U43" s="21"/>
    </row>
    <row r="44" spans="1:21" ht="16.5">
      <c r="A44" s="25">
        <f t="shared" si="0"/>
        <v>26</v>
      </c>
      <c r="N44" s="20"/>
      <c r="O44" s="20"/>
      <c r="P44" s="21"/>
      <c r="Q44" s="21"/>
      <c r="R44" s="21"/>
      <c r="S44" s="21"/>
      <c r="T44" s="21"/>
      <c r="U44" s="21"/>
    </row>
    <row r="45" spans="1:21" ht="16.5">
      <c r="A45" s="25">
        <f t="shared" si="0"/>
        <v>27</v>
      </c>
      <c r="B45" s="228" t="s">
        <v>280</v>
      </c>
      <c r="C45" s="287"/>
      <c r="D45" s="228"/>
      <c r="E45" s="261"/>
      <c r="F45" s="261"/>
      <c r="G45" s="261"/>
      <c r="H45" s="261"/>
      <c r="I45" s="288">
        <f>'ADIT support'!H34/1000</f>
        <v>-85746.8221964192</v>
      </c>
      <c r="J45" s="288"/>
      <c r="K45" s="289">
        <f>I45*M45</f>
        <v>-81358.61737990861</v>
      </c>
      <c r="L45" s="44"/>
      <c r="M45" s="456">
        <f>(K30-K42)/(I30-I42)</f>
        <v>0.9488237032684594</v>
      </c>
      <c r="N45" s="16"/>
      <c r="O45" s="16"/>
      <c r="P45" s="21"/>
      <c r="Q45" s="21"/>
      <c r="R45" s="21"/>
      <c r="S45" s="21"/>
      <c r="T45" s="21"/>
      <c r="U45" s="21"/>
    </row>
    <row r="46" spans="1:21" ht="16.5">
      <c r="A46" s="25">
        <f t="shared" si="0"/>
        <v>28</v>
      </c>
      <c r="B46" s="39"/>
      <c r="C46" s="16"/>
      <c r="D46" s="39"/>
      <c r="E46" s="16"/>
      <c r="F46" s="16"/>
      <c r="G46" s="16"/>
      <c r="H46" s="16"/>
      <c r="I46" s="41"/>
      <c r="J46" s="41"/>
      <c r="K46" s="41"/>
      <c r="L46" s="39"/>
      <c r="M46" s="454"/>
      <c r="N46" s="16"/>
      <c r="O46" s="16"/>
      <c r="P46" s="21"/>
      <c r="Q46" s="21"/>
      <c r="R46" s="21"/>
      <c r="S46" s="21"/>
      <c r="T46" s="21"/>
      <c r="U46" s="21"/>
    </row>
    <row r="47" spans="1:21" ht="16.5">
      <c r="A47" s="25">
        <f t="shared" si="0"/>
        <v>29</v>
      </c>
      <c r="B47" s="39"/>
      <c r="C47" s="16"/>
      <c r="D47" s="39"/>
      <c r="E47" s="16"/>
      <c r="F47" s="16"/>
      <c r="G47" s="16"/>
      <c r="H47" s="16"/>
      <c r="I47" s="41"/>
      <c r="J47" s="41"/>
      <c r="K47" s="41"/>
      <c r="L47" s="39"/>
      <c r="M47" s="454"/>
      <c r="N47" s="16"/>
      <c r="O47" s="16"/>
      <c r="P47" s="21"/>
      <c r="Q47" s="21"/>
      <c r="R47" s="21"/>
      <c r="S47" s="21"/>
      <c r="T47" s="21"/>
      <c r="U47" s="21"/>
    </row>
    <row r="48" spans="1:21" ht="16.5">
      <c r="A48" s="25">
        <f t="shared" si="0"/>
        <v>30</v>
      </c>
      <c r="B48" s="39" t="s">
        <v>281</v>
      </c>
      <c r="C48" s="16"/>
      <c r="D48" s="39"/>
      <c r="E48" s="16"/>
      <c r="F48" s="16"/>
      <c r="G48" s="16"/>
      <c r="H48" s="16"/>
      <c r="I48" s="43">
        <f>+I30+-I42+I45</f>
        <v>1120666.227718807</v>
      </c>
      <c r="J48" s="41"/>
      <c r="K48" s="43">
        <f>+K30+-K42+K45</f>
        <v>1063314.680312053</v>
      </c>
      <c r="L48" s="39"/>
      <c r="M48" s="458">
        <f>IF(I48=0,0,K48/I48)</f>
        <v>0.9488237032684593</v>
      </c>
      <c r="N48" s="16"/>
      <c r="O48" s="16"/>
      <c r="P48" s="21"/>
      <c r="Q48" s="21"/>
      <c r="R48" s="21"/>
      <c r="S48" s="21"/>
      <c r="T48" s="21"/>
      <c r="U48" s="21"/>
    </row>
    <row r="49" spans="1:21" ht="16.5">
      <c r="A49" s="25">
        <f t="shared" si="0"/>
        <v>31</v>
      </c>
      <c r="N49" s="16"/>
      <c r="O49" s="16"/>
      <c r="P49" s="21"/>
      <c r="Q49" s="21"/>
      <c r="R49" s="21"/>
      <c r="S49" s="21"/>
      <c r="T49" s="21"/>
      <c r="U49" s="21"/>
    </row>
    <row r="50" spans="1:21" s="262" customFormat="1" ht="16.5">
      <c r="A50" s="25">
        <f t="shared" si="0"/>
        <v>32</v>
      </c>
      <c r="N50" s="439"/>
      <c r="O50" s="439"/>
      <c r="P50" s="284"/>
      <c r="R50" s="285"/>
      <c r="S50" s="285"/>
      <c r="T50" s="285"/>
      <c r="U50" s="285"/>
    </row>
    <row r="51" spans="1:21" ht="16.5">
      <c r="A51" s="25">
        <f t="shared" si="0"/>
        <v>33</v>
      </c>
      <c r="N51" s="16"/>
      <c r="O51" s="16"/>
      <c r="P51" s="21"/>
      <c r="Q51" s="21"/>
      <c r="R51" s="21"/>
      <c r="S51" s="21"/>
      <c r="T51" s="21"/>
      <c r="U51" s="21"/>
    </row>
    <row r="52" spans="1:21" ht="16.5">
      <c r="A52" s="25">
        <f t="shared" si="0"/>
        <v>34</v>
      </c>
      <c r="N52" s="16"/>
      <c r="O52" s="16"/>
      <c r="P52" s="21"/>
      <c r="Q52" s="21"/>
      <c r="R52" s="21"/>
      <c r="S52" s="21"/>
      <c r="T52" s="21"/>
      <c r="U52" s="21"/>
    </row>
    <row r="53" spans="1:15" ht="16.5">
      <c r="A53" s="25">
        <f t="shared" si="0"/>
        <v>35</v>
      </c>
      <c r="N53" s="16"/>
      <c r="O53" s="16"/>
    </row>
    <row r="54" ht="16.5">
      <c r="A54" s="25">
        <f t="shared" si="0"/>
        <v>36</v>
      </c>
    </row>
    <row r="55" spans="1:15" ht="16.5">
      <c r="A55" s="25">
        <f t="shared" si="0"/>
        <v>37</v>
      </c>
      <c r="B55" s="114" t="s">
        <v>505</v>
      </c>
      <c r="N55" s="16"/>
      <c r="O55" s="16"/>
    </row>
    <row r="56" spans="1:15" ht="16.5">
      <c r="A56" s="25">
        <f t="shared" si="0"/>
        <v>38</v>
      </c>
      <c r="B56" s="228" t="s">
        <v>282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0"/>
    </row>
    <row r="57" spans="1:15" ht="16.5">
      <c r="A57" s="25">
        <f t="shared" si="0"/>
        <v>39</v>
      </c>
      <c r="B57" s="48" t="s">
        <v>283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0"/>
    </row>
    <row r="58" spans="1:15" ht="16.5">
      <c r="A58" s="25">
        <f t="shared" si="0"/>
        <v>40</v>
      </c>
      <c r="B58" s="20" t="s">
        <v>248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0"/>
    </row>
    <row r="59" spans="1:15" ht="16.5">
      <c r="A59" s="25"/>
      <c r="N59" s="16"/>
      <c r="O59" s="16"/>
    </row>
    <row r="60" spans="1:17" ht="17.25" thickBot="1">
      <c r="A60" s="25"/>
      <c r="B60" s="17"/>
      <c r="C60" s="39"/>
      <c r="D60" s="39"/>
      <c r="E60" s="132"/>
      <c r="F60" s="132"/>
      <c r="G60" s="132"/>
      <c r="H60" s="39"/>
      <c r="I60" s="133"/>
      <c r="J60" s="17"/>
      <c r="K60" s="17"/>
      <c r="L60" s="17"/>
      <c r="M60" s="135"/>
      <c r="N60" s="16"/>
      <c r="O60" s="16"/>
      <c r="P60" s="128"/>
      <c r="Q60" s="7"/>
    </row>
    <row r="61" spans="1:17" ht="16.5">
      <c r="A61" s="24" t="s">
        <v>277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 t="s">
        <v>14</v>
      </c>
      <c r="M61" s="136"/>
      <c r="N61" s="24" t="s">
        <v>278</v>
      </c>
      <c r="O61" s="24"/>
      <c r="P61" s="7"/>
      <c r="Q61" s="7"/>
    </row>
    <row r="62" spans="1:15" ht="16.5">
      <c r="A62" s="16"/>
      <c r="B62" s="16"/>
      <c r="C62" s="16"/>
      <c r="D62" s="17"/>
      <c r="E62" s="16"/>
      <c r="F62" s="16"/>
      <c r="G62" s="16"/>
      <c r="H62" s="16"/>
      <c r="I62" s="16"/>
      <c r="J62" s="16"/>
      <c r="K62" s="16"/>
      <c r="L62" s="16"/>
      <c r="M62" s="135"/>
      <c r="N62" s="16"/>
      <c r="O62" s="16"/>
    </row>
    <row r="63" spans="1:2" ht="21">
      <c r="A63" s="331"/>
      <c r="B63" s="332"/>
    </row>
  </sheetData>
  <sheetProtection/>
  <mergeCells count="1">
    <mergeCell ref="B17:D17"/>
  </mergeCells>
  <printOptions horizontalCentered="1"/>
  <pageMargins left="0.5" right="0.5" top="0.75" bottom="0.23" header="0.5" footer="0"/>
  <pageSetup fitToHeight="2" horizontalDpi="600" verticalDpi="600" orientation="landscape" scale="48" r:id="rId1"/>
  <ignoredErrors>
    <ignoredError sqref="I15:M21" numberStoredAsText="1"/>
    <ignoredError sqref="I22:M22" numberStoredAsText="1" unlockedFormula="1"/>
    <ignoredError sqref="M23:M48 K23:K48 I23:I29 I46:I47 I31:I44 I30 I45 I4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26.6640625" style="0" bestFit="1" customWidth="1"/>
    <col min="2" max="2" width="12.4453125" style="0" bestFit="1" customWidth="1"/>
    <col min="3" max="3" width="12.6640625" style="0" bestFit="1" customWidth="1"/>
    <col min="4" max="4" width="12.4453125" style="0" bestFit="1" customWidth="1"/>
    <col min="5" max="5" width="12.6640625" style="0" bestFit="1" customWidth="1"/>
    <col min="6" max="8" width="13.77734375" style="0" bestFit="1" customWidth="1"/>
    <col min="9" max="9" width="12.4453125" style="0" bestFit="1" customWidth="1"/>
    <col min="10" max="10" width="5.10546875" style="0" customWidth="1"/>
    <col min="11" max="14" width="13.77734375" style="0" bestFit="1" customWidth="1"/>
    <col min="15" max="15" width="12.4453125" style="0" bestFit="1" customWidth="1"/>
  </cols>
  <sheetData>
    <row r="1" s="240" customFormat="1" ht="15">
      <c r="A1" s="240" t="s">
        <v>574</v>
      </c>
    </row>
    <row r="2" s="240" customFormat="1" ht="15">
      <c r="A2" s="240" t="s">
        <v>571</v>
      </c>
    </row>
    <row r="3" s="240" customFormat="1" ht="15"/>
    <row r="4" spans="1:15" ht="15">
      <c r="A4" s="232"/>
      <c r="B4" s="232"/>
      <c r="C4" s="233"/>
      <c r="D4" s="233"/>
      <c r="E4" s="233"/>
      <c r="F4" s="233"/>
      <c r="G4" s="233"/>
      <c r="H4" s="233"/>
      <c r="I4" s="233"/>
      <c r="J4" s="234"/>
      <c r="K4" s="233"/>
      <c r="L4" s="233"/>
      <c r="M4" s="233"/>
      <c r="N4" s="233"/>
      <c r="O4" s="233"/>
    </row>
    <row r="5" spans="1:15" ht="24">
      <c r="A5" s="516" t="s">
        <v>430</v>
      </c>
      <c r="B5" s="516" t="s">
        <v>560</v>
      </c>
      <c r="C5" s="517">
        <v>43617</v>
      </c>
      <c r="D5" s="517">
        <f aca="true" t="shared" si="0" ref="D5:I5">+EDATE(C5,1)</f>
        <v>43647</v>
      </c>
      <c r="E5" s="517">
        <f t="shared" si="0"/>
        <v>43678</v>
      </c>
      <c r="F5" s="517">
        <f t="shared" si="0"/>
        <v>43709</v>
      </c>
      <c r="G5" s="517">
        <f t="shared" si="0"/>
        <v>43739</v>
      </c>
      <c r="H5" s="517">
        <f t="shared" si="0"/>
        <v>43770</v>
      </c>
      <c r="I5" s="517">
        <f t="shared" si="0"/>
        <v>43800</v>
      </c>
      <c r="J5" s="518" t="s">
        <v>431</v>
      </c>
      <c r="K5" s="517">
        <f>+EDATE(I5,1)</f>
        <v>43831</v>
      </c>
      <c r="L5" s="517">
        <f>+EDATE(K5,1)</f>
        <v>43862</v>
      </c>
      <c r="M5" s="517">
        <f>+EDATE(L5,1)</f>
        <v>43891</v>
      </c>
      <c r="N5" s="517">
        <f>+EDATE(M5,1)</f>
        <v>43922</v>
      </c>
      <c r="O5" s="517">
        <f>+EDATE(N5,1)</f>
        <v>43952</v>
      </c>
    </row>
    <row r="6" spans="1:15" s="519" customFormat="1" ht="12">
      <c r="A6" s="229"/>
      <c r="B6" s="229"/>
      <c r="C6" s="230"/>
      <c r="D6" s="230"/>
      <c r="E6" s="230"/>
      <c r="F6" s="230"/>
      <c r="G6" s="230"/>
      <c r="H6" s="230"/>
      <c r="I6" s="230"/>
      <c r="J6" s="231"/>
      <c r="K6" s="230"/>
      <c r="L6" s="230"/>
      <c r="M6" s="230"/>
      <c r="N6" s="230"/>
      <c r="O6" s="230"/>
    </row>
    <row r="7" spans="1:15" ht="15">
      <c r="A7" s="520" t="s">
        <v>432</v>
      </c>
      <c r="B7" s="520"/>
      <c r="C7" s="521"/>
      <c r="D7" s="521"/>
      <c r="E7" s="521"/>
      <c r="F7" s="521"/>
      <c r="G7" s="521"/>
      <c r="H7" s="521"/>
      <c r="I7" s="521"/>
      <c r="J7" s="522"/>
      <c r="K7" s="521"/>
      <c r="L7" s="521"/>
      <c r="M7" s="521"/>
      <c r="N7" s="521"/>
      <c r="O7" s="521"/>
    </row>
    <row r="8" spans="1:15" s="523" customFormat="1" ht="15">
      <c r="A8" s="520" t="s">
        <v>433</v>
      </c>
      <c r="B8" s="537">
        <v>1126401.5987885667</v>
      </c>
      <c r="C8" s="521">
        <f>(1147182642.46787/1000)-9.75731225538253</f>
        <v>1147172.8851556145</v>
      </c>
      <c r="D8" s="521">
        <f>+C8</f>
        <v>1147172.8851556145</v>
      </c>
      <c r="E8" s="521">
        <f aca="true" t="shared" si="1" ref="E8:O8">+D8</f>
        <v>1147172.8851556145</v>
      </c>
      <c r="F8" s="521">
        <f t="shared" si="1"/>
        <v>1147172.8851556145</v>
      </c>
      <c r="G8" s="521">
        <f t="shared" si="1"/>
        <v>1147172.8851556145</v>
      </c>
      <c r="H8" s="521">
        <f t="shared" si="1"/>
        <v>1147172.8851556145</v>
      </c>
      <c r="I8" s="521">
        <f t="shared" si="1"/>
        <v>1147172.8851556145</v>
      </c>
      <c r="J8" s="522">
        <v>8.78027693255732E-05</v>
      </c>
      <c r="K8" s="521">
        <f>+I8</f>
        <v>1147172.8851556145</v>
      </c>
      <c r="L8" s="521">
        <f t="shared" si="1"/>
        <v>1147172.8851556145</v>
      </c>
      <c r="M8" s="521">
        <f t="shared" si="1"/>
        <v>1147172.8851556145</v>
      </c>
      <c r="N8" s="521">
        <f t="shared" si="1"/>
        <v>1147172.8851556145</v>
      </c>
      <c r="O8" s="521">
        <f t="shared" si="1"/>
        <v>1147172.8851556145</v>
      </c>
    </row>
    <row r="9" spans="1:15" s="523" customFormat="1" ht="15">
      <c r="A9" s="520" t="s">
        <v>434</v>
      </c>
      <c r="B9" s="520"/>
      <c r="C9" s="521">
        <f>+C8</f>
        <v>1147172.8851556145</v>
      </c>
      <c r="D9" s="521">
        <f aca="true" t="shared" si="2" ref="D9:I9">+C9+(D8-C8)</f>
        <v>1147172.8851556145</v>
      </c>
      <c r="E9" s="521">
        <f t="shared" si="2"/>
        <v>1147172.8851556145</v>
      </c>
      <c r="F9" s="521">
        <f t="shared" si="2"/>
        <v>1147172.8851556145</v>
      </c>
      <c r="G9" s="521">
        <f t="shared" si="2"/>
        <v>1147172.8851556145</v>
      </c>
      <c r="H9" s="521">
        <f t="shared" si="2"/>
        <v>1147172.8851556145</v>
      </c>
      <c r="I9" s="521">
        <f t="shared" si="2"/>
        <v>1147172.8851556145</v>
      </c>
      <c r="J9" s="522">
        <v>8.78027693255732E-05</v>
      </c>
      <c r="K9" s="521">
        <f>+J9+(K8-J8)</f>
        <v>1147172.8851556145</v>
      </c>
      <c r="L9" s="521">
        <f>+K9+(L8-K8)</f>
        <v>1147172.8851556145</v>
      </c>
      <c r="M9" s="521">
        <f>+L9+(M8-L8)</f>
        <v>1147172.8851556145</v>
      </c>
      <c r="N9" s="521">
        <f>+M9+(N8-M8)</f>
        <v>1147172.8851556145</v>
      </c>
      <c r="O9" s="521">
        <f>+N9+(O8-N8)</f>
        <v>1147172.8851556145</v>
      </c>
    </row>
    <row r="10" spans="1:15" s="523" customFormat="1" ht="15">
      <c r="A10" s="520" t="s">
        <v>435</v>
      </c>
      <c r="B10" s="520"/>
      <c r="C10" s="521"/>
      <c r="D10" s="521"/>
      <c r="E10" s="521"/>
      <c r="F10" s="521"/>
      <c r="G10" s="521"/>
      <c r="H10" s="521"/>
      <c r="I10" s="521"/>
      <c r="J10" s="522"/>
      <c r="K10" s="521"/>
      <c r="L10" s="521"/>
      <c r="M10" s="521"/>
      <c r="N10" s="521"/>
      <c r="O10" s="521"/>
    </row>
    <row r="11" spans="1:15" s="523" customFormat="1" ht="15">
      <c r="A11" s="520" t="s">
        <v>436</v>
      </c>
      <c r="B11" s="520"/>
      <c r="C11" s="521"/>
      <c r="D11" s="521"/>
      <c r="E11" s="521"/>
      <c r="F11" s="521"/>
      <c r="G11" s="521"/>
      <c r="H11" s="521"/>
      <c r="I11" s="521"/>
      <c r="J11" s="522"/>
      <c r="K11" s="521"/>
      <c r="L11" s="521"/>
      <c r="M11" s="521"/>
      <c r="N11" s="521"/>
      <c r="O11" s="521"/>
    </row>
    <row r="12" spans="1:15" s="523" customFormat="1" ht="15">
      <c r="A12" s="520" t="s">
        <v>433</v>
      </c>
      <c r="B12" s="520"/>
      <c r="C12" s="521">
        <f aca="true" t="shared" si="3" ref="C12:I12">+C8</f>
        <v>1147172.8851556145</v>
      </c>
      <c r="D12" s="521">
        <f t="shared" si="3"/>
        <v>1147172.8851556145</v>
      </c>
      <c r="E12" s="521">
        <f t="shared" si="3"/>
        <v>1147172.8851556145</v>
      </c>
      <c r="F12" s="521">
        <f t="shared" si="3"/>
        <v>1147172.8851556145</v>
      </c>
      <c r="G12" s="521">
        <f t="shared" si="3"/>
        <v>1147172.8851556145</v>
      </c>
      <c r="H12" s="521">
        <f t="shared" si="3"/>
        <v>1147172.8851556145</v>
      </c>
      <c r="I12" s="521">
        <f t="shared" si="3"/>
        <v>1147172.8851556145</v>
      </c>
      <c r="J12" s="522">
        <v>0.000175605538651146</v>
      </c>
      <c r="K12" s="521">
        <f>+I12</f>
        <v>1147172.8851556145</v>
      </c>
      <c r="L12" s="521">
        <f>+K12</f>
        <v>1147172.8851556145</v>
      </c>
      <c r="M12" s="521">
        <f>+L12</f>
        <v>1147172.8851556145</v>
      </c>
      <c r="N12" s="521">
        <f>+M12</f>
        <v>1147172.8851556145</v>
      </c>
      <c r="O12" s="521">
        <f>+N12</f>
        <v>1147172.8851556145</v>
      </c>
    </row>
    <row r="13" spans="1:15" s="523" customFormat="1" ht="15">
      <c r="A13" s="520" t="s">
        <v>437</v>
      </c>
      <c r="B13" s="520"/>
      <c r="C13" s="521">
        <f>+C12</f>
        <v>1147172.8851556145</v>
      </c>
      <c r="D13" s="521">
        <f aca="true" t="shared" si="4" ref="D13:I13">+D12</f>
        <v>1147172.8851556145</v>
      </c>
      <c r="E13" s="521">
        <f t="shared" si="4"/>
        <v>1147172.8851556145</v>
      </c>
      <c r="F13" s="521">
        <f t="shared" si="4"/>
        <v>1147172.8851556145</v>
      </c>
      <c r="G13" s="521">
        <f t="shared" si="4"/>
        <v>1147172.8851556145</v>
      </c>
      <c r="H13" s="521">
        <f t="shared" si="4"/>
        <v>1147172.8851556145</v>
      </c>
      <c r="I13" s="521">
        <f t="shared" si="4"/>
        <v>1147172.8851556145</v>
      </c>
      <c r="J13" s="522">
        <v>0.000175605538651146</v>
      </c>
      <c r="K13" s="521">
        <f>+K12</f>
        <v>1147172.8851556145</v>
      </c>
      <c r="L13" s="521">
        <f>+L12</f>
        <v>1147172.8851556145</v>
      </c>
      <c r="M13" s="521">
        <f>+M12</f>
        <v>1147172.8851556145</v>
      </c>
      <c r="N13" s="521">
        <f>+N12</f>
        <v>1147172.8851556145</v>
      </c>
      <c r="O13" s="521">
        <f>+O12</f>
        <v>1147172.8851556145</v>
      </c>
    </row>
    <row r="14" spans="1:15" s="523" customFormat="1" ht="15">
      <c r="A14" s="520" t="s">
        <v>435</v>
      </c>
      <c r="B14" s="520"/>
      <c r="C14" s="521"/>
      <c r="D14" s="521"/>
      <c r="E14" s="521"/>
      <c r="F14" s="521"/>
      <c r="G14" s="521"/>
      <c r="H14" s="521"/>
      <c r="I14" s="521"/>
      <c r="J14" s="522"/>
      <c r="K14" s="521"/>
      <c r="L14" s="521"/>
      <c r="M14" s="521"/>
      <c r="N14" s="521"/>
      <c r="O14" s="521"/>
    </row>
    <row r="15" spans="1:15" s="523" customFormat="1" ht="15">
      <c r="A15" s="520" t="s">
        <v>438</v>
      </c>
      <c r="B15" s="520"/>
      <c r="C15" s="521"/>
      <c r="D15" s="521"/>
      <c r="E15" s="521"/>
      <c r="F15" s="521"/>
      <c r="G15" s="521"/>
      <c r="H15" s="521"/>
      <c r="I15" s="521"/>
      <c r="J15" s="522"/>
      <c r="K15" s="521"/>
      <c r="L15" s="521"/>
      <c r="M15" s="521"/>
      <c r="N15" s="521"/>
      <c r="O15" s="521"/>
    </row>
    <row r="16" spans="1:15" s="523" customFormat="1" ht="15">
      <c r="A16" s="520" t="s">
        <v>439</v>
      </c>
      <c r="B16" s="520"/>
      <c r="C16" s="524">
        <f aca="true" t="shared" si="5" ref="C16:I16">B16+C13*($C$71/12)</f>
        <v>3441.518655466843</v>
      </c>
      <c r="D16" s="524">
        <f t="shared" si="5"/>
        <v>6883.037310933686</v>
      </c>
      <c r="E16" s="524">
        <f t="shared" si="5"/>
        <v>10324.555966400529</v>
      </c>
      <c r="F16" s="524">
        <f t="shared" si="5"/>
        <v>13766.074621867372</v>
      </c>
      <c r="G16" s="524">
        <f t="shared" si="5"/>
        <v>17207.593277334214</v>
      </c>
      <c r="H16" s="524">
        <f t="shared" si="5"/>
        <v>20649.111932801057</v>
      </c>
      <c r="I16" s="524">
        <f t="shared" si="5"/>
        <v>24090.6305882679</v>
      </c>
      <c r="J16" s="524">
        <v>2.08601137018715E-06</v>
      </c>
      <c r="K16" s="524">
        <f>I16+K13*($C$71/12)</f>
        <v>27532.149243734744</v>
      </c>
      <c r="L16" s="524">
        <f>K16+L13*($C$71/12)</f>
        <v>30973.667899201588</v>
      </c>
      <c r="M16" s="524">
        <f>L16+M13*($C$71/12)</f>
        <v>34415.18655466843</v>
      </c>
      <c r="N16" s="524">
        <f>M16+N13*($C$71/12)</f>
        <v>37856.70521013527</v>
      </c>
      <c r="O16" s="524">
        <f>N16+O13*($C$71/12)</f>
        <v>41298.22386560211</v>
      </c>
    </row>
    <row r="17" spans="1:15" s="523" customFormat="1" ht="15">
      <c r="A17" s="520" t="s">
        <v>437</v>
      </c>
      <c r="B17" s="520"/>
      <c r="C17" s="524">
        <f>+C16</f>
        <v>3441.518655466843</v>
      </c>
      <c r="D17" s="524">
        <f aca="true" t="shared" si="6" ref="D17:I17">+D16</f>
        <v>6883.037310933686</v>
      </c>
      <c r="E17" s="524">
        <f t="shared" si="6"/>
        <v>10324.555966400529</v>
      </c>
      <c r="F17" s="524">
        <f t="shared" si="6"/>
        <v>13766.074621867372</v>
      </c>
      <c r="G17" s="524">
        <f t="shared" si="6"/>
        <v>17207.593277334214</v>
      </c>
      <c r="H17" s="524">
        <f t="shared" si="6"/>
        <v>20649.111932801057</v>
      </c>
      <c r="I17" s="524">
        <f t="shared" si="6"/>
        <v>24090.6305882679</v>
      </c>
      <c r="J17" s="524">
        <v>2.08601137018715E-06</v>
      </c>
      <c r="K17" s="524">
        <f>+K16</f>
        <v>27532.149243734744</v>
      </c>
      <c r="L17" s="524">
        <f>+L16</f>
        <v>30973.667899201588</v>
      </c>
      <c r="M17" s="524">
        <f>+M16</f>
        <v>34415.18655466843</v>
      </c>
      <c r="N17" s="524">
        <f>+N16</f>
        <v>37856.70521013527</v>
      </c>
      <c r="O17" s="524">
        <f>+O16</f>
        <v>41298.22386560211</v>
      </c>
    </row>
    <row r="18" spans="1:15" s="523" customFormat="1" ht="15">
      <c r="A18" s="520"/>
      <c r="B18" s="520"/>
      <c r="C18" s="521"/>
      <c r="D18" s="525"/>
      <c r="E18" s="525"/>
      <c r="F18" s="525"/>
      <c r="G18" s="521"/>
      <c r="H18" s="521"/>
      <c r="I18" s="521"/>
      <c r="J18" s="522"/>
      <c r="K18" s="521"/>
      <c r="L18" s="521"/>
      <c r="M18" s="521"/>
      <c r="N18" s="521"/>
      <c r="O18" s="521"/>
    </row>
    <row r="19" spans="1:15" s="523" customFormat="1" ht="15">
      <c r="A19" s="520" t="s">
        <v>440</v>
      </c>
      <c r="B19" s="520"/>
      <c r="C19" s="521"/>
      <c r="D19" s="521"/>
      <c r="E19" s="521"/>
      <c r="F19" s="521"/>
      <c r="G19" s="521"/>
      <c r="H19" s="521"/>
      <c r="I19" s="521"/>
      <c r="J19" s="522"/>
      <c r="K19" s="521"/>
      <c r="L19" s="521"/>
      <c r="M19" s="521"/>
      <c r="N19" s="521"/>
      <c r="O19" s="521"/>
    </row>
    <row r="20" spans="1:15" s="523" customFormat="1" ht="15">
      <c r="A20" s="520" t="s">
        <v>433</v>
      </c>
      <c r="B20" s="520"/>
      <c r="C20" s="521">
        <f>+C12-C16</f>
        <v>1143731.3665001476</v>
      </c>
      <c r="D20" s="521">
        <f aca="true" t="shared" si="7" ref="D20:I20">+D12-D16</f>
        <v>1140289.8478446808</v>
      </c>
      <c r="E20" s="521">
        <f t="shared" si="7"/>
        <v>1136848.329189214</v>
      </c>
      <c r="F20" s="521">
        <f t="shared" si="7"/>
        <v>1133406.810533747</v>
      </c>
      <c r="G20" s="521">
        <f t="shared" si="7"/>
        <v>1129965.2918782802</v>
      </c>
      <c r="H20" s="521">
        <f t="shared" si="7"/>
        <v>1126523.7732228134</v>
      </c>
      <c r="I20" s="521">
        <f t="shared" si="7"/>
        <v>1123082.2545673465</v>
      </c>
      <c r="J20" s="522">
        <v>0.000173519527280959</v>
      </c>
      <c r="K20" s="521">
        <f>+K12-K16</f>
        <v>1119640.7359118797</v>
      </c>
      <c r="L20" s="521">
        <f>+L12-L16</f>
        <v>1116199.2172564128</v>
      </c>
      <c r="M20" s="521">
        <f>+M12-M16</f>
        <v>1112757.698600946</v>
      </c>
      <c r="N20" s="521">
        <f>+N12-N16</f>
        <v>1109316.1799454791</v>
      </c>
      <c r="O20" s="521">
        <f>+O12-O16</f>
        <v>1105874.6612900123</v>
      </c>
    </row>
    <row r="21" spans="1:15" s="523" customFormat="1" ht="15">
      <c r="A21" s="520" t="s">
        <v>434</v>
      </c>
      <c r="B21" s="520"/>
      <c r="C21" s="521">
        <f>+C20</f>
        <v>1143731.3665001476</v>
      </c>
      <c r="D21" s="521">
        <f aca="true" t="shared" si="8" ref="D21:I21">+D20</f>
        <v>1140289.8478446808</v>
      </c>
      <c r="E21" s="521">
        <f t="shared" si="8"/>
        <v>1136848.329189214</v>
      </c>
      <c r="F21" s="521">
        <f t="shared" si="8"/>
        <v>1133406.810533747</v>
      </c>
      <c r="G21" s="521">
        <f t="shared" si="8"/>
        <v>1129965.2918782802</v>
      </c>
      <c r="H21" s="521">
        <f t="shared" si="8"/>
        <v>1126523.7732228134</v>
      </c>
      <c r="I21" s="521">
        <f t="shared" si="8"/>
        <v>1123082.2545673465</v>
      </c>
      <c r="J21" s="522">
        <v>0.000173519527280959</v>
      </c>
      <c r="K21" s="521">
        <f>+K20</f>
        <v>1119640.7359118797</v>
      </c>
      <c r="L21" s="521">
        <f>+L20</f>
        <v>1116199.2172564128</v>
      </c>
      <c r="M21" s="521">
        <f>+M20</f>
        <v>1112757.698600946</v>
      </c>
      <c r="N21" s="521">
        <f>+N20</f>
        <v>1109316.1799454791</v>
      </c>
      <c r="O21" s="521">
        <f>+O20</f>
        <v>1105874.6612900123</v>
      </c>
    </row>
    <row r="22" spans="1:15" s="523" customFormat="1" ht="15">
      <c r="A22" s="229"/>
      <c r="B22" s="229"/>
      <c r="C22" s="230"/>
      <c r="D22" s="230"/>
      <c r="E22" s="230"/>
      <c r="F22" s="230"/>
      <c r="G22" s="230"/>
      <c r="H22" s="230"/>
      <c r="I22" s="230"/>
      <c r="J22" s="231"/>
      <c r="K22" s="230"/>
      <c r="L22" s="230"/>
      <c r="M22" s="230"/>
      <c r="N22" s="230"/>
      <c r="O22" s="230"/>
    </row>
    <row r="23" spans="1:15" ht="15">
      <c r="A23" s="229"/>
      <c r="B23" s="229"/>
      <c r="D23" s="534"/>
      <c r="E23" s="230"/>
      <c r="F23" s="230"/>
      <c r="G23" s="230"/>
      <c r="H23" s="230"/>
      <c r="I23" s="230"/>
      <c r="J23" s="231"/>
      <c r="K23" s="230"/>
      <c r="L23" s="230"/>
      <c r="M23" s="230"/>
      <c r="N23" s="230"/>
      <c r="O23" s="230"/>
    </row>
    <row r="24" spans="1:15" ht="15">
      <c r="A24" s="526" t="s">
        <v>432</v>
      </c>
      <c r="B24" s="526"/>
      <c r="C24" s="527">
        <v>56975570.443496235</v>
      </c>
      <c r="D24" s="527">
        <v>57026055.443496235</v>
      </c>
      <c r="E24" s="527"/>
      <c r="F24" s="527"/>
      <c r="G24" s="527"/>
      <c r="H24" s="527"/>
      <c r="I24" s="527"/>
      <c r="J24" s="528"/>
      <c r="K24" s="527"/>
      <c r="L24" s="527"/>
      <c r="M24" s="527"/>
      <c r="N24" s="527"/>
      <c r="O24" s="527"/>
    </row>
    <row r="25" spans="1:15" s="529" customFormat="1" ht="15">
      <c r="A25" s="526" t="s">
        <v>441</v>
      </c>
      <c r="B25" s="538">
        <f>+(C24-75728)/1000</f>
        <v>56899.842443496236</v>
      </c>
      <c r="C25" s="527">
        <f>+C24/1000</f>
        <v>56975.57044349623</v>
      </c>
      <c r="D25" s="527">
        <f>+D24/1000</f>
        <v>57026.05544349623</v>
      </c>
      <c r="E25" s="527">
        <f aca="true" t="shared" si="9" ref="E25:O25">+D25</f>
        <v>57026.05544349623</v>
      </c>
      <c r="F25" s="527">
        <f t="shared" si="9"/>
        <v>57026.05544349623</v>
      </c>
      <c r="G25" s="527">
        <f t="shared" si="9"/>
        <v>57026.05544349623</v>
      </c>
      <c r="H25" s="527">
        <f t="shared" si="9"/>
        <v>57026.05544349623</v>
      </c>
      <c r="I25" s="527">
        <f t="shared" si="9"/>
        <v>57026.05544349623</v>
      </c>
      <c r="J25" s="527">
        <f t="shared" si="9"/>
        <v>57026.05544349623</v>
      </c>
      <c r="K25" s="527">
        <f>+J25</f>
        <v>57026.05544349623</v>
      </c>
      <c r="L25" s="527">
        <f t="shared" si="9"/>
        <v>57026.05544349623</v>
      </c>
      <c r="M25" s="527">
        <f t="shared" si="9"/>
        <v>57026.05544349623</v>
      </c>
      <c r="N25" s="527">
        <f t="shared" si="9"/>
        <v>57026.05544349623</v>
      </c>
      <c r="O25" s="527">
        <f t="shared" si="9"/>
        <v>57026.05544349623</v>
      </c>
    </row>
    <row r="26" spans="1:15" s="529" customFormat="1" ht="15">
      <c r="A26" s="526" t="s">
        <v>434</v>
      </c>
      <c r="B26" s="526"/>
      <c r="C26" s="527">
        <f>+C25</f>
        <v>56975.57044349623</v>
      </c>
      <c r="D26" s="527">
        <f aca="true" t="shared" si="10" ref="D26:I26">+C26+(D25-C25)</f>
        <v>57026.05544349623</v>
      </c>
      <c r="E26" s="527">
        <f t="shared" si="10"/>
        <v>57026.05544349623</v>
      </c>
      <c r="F26" s="527">
        <f t="shared" si="10"/>
        <v>57026.05544349623</v>
      </c>
      <c r="G26" s="527">
        <f t="shared" si="10"/>
        <v>57026.05544349623</v>
      </c>
      <c r="H26" s="527">
        <f t="shared" si="10"/>
        <v>57026.05544349623</v>
      </c>
      <c r="I26" s="527">
        <f t="shared" si="10"/>
        <v>57026.05544349623</v>
      </c>
      <c r="J26" s="528">
        <v>8.78027693255732E-05</v>
      </c>
      <c r="K26" s="527">
        <f>+I26+(K25-I25)</f>
        <v>57026.05544349623</v>
      </c>
      <c r="L26" s="527">
        <f>+K26+(L25-K25)</f>
        <v>57026.05544349623</v>
      </c>
      <c r="M26" s="527">
        <f>+L26+(M25-L25)</f>
        <v>57026.05544349623</v>
      </c>
      <c r="N26" s="527">
        <f>+M26+(N25-M25)</f>
        <v>57026.05544349623</v>
      </c>
      <c r="O26" s="527">
        <f>+N26+(O25-N25)</f>
        <v>57026.05544349623</v>
      </c>
    </row>
    <row r="27" spans="1:15" s="529" customFormat="1" ht="15">
      <c r="A27" s="526" t="s">
        <v>441</v>
      </c>
      <c r="B27" s="526"/>
      <c r="C27" s="527">
        <f aca="true" t="shared" si="11" ref="C27:I27">+C25</f>
        <v>56975.57044349623</v>
      </c>
      <c r="D27" s="527">
        <f t="shared" si="11"/>
        <v>57026.05544349623</v>
      </c>
      <c r="E27" s="527">
        <f t="shared" si="11"/>
        <v>57026.05544349623</v>
      </c>
      <c r="F27" s="527">
        <f t="shared" si="11"/>
        <v>57026.05544349623</v>
      </c>
      <c r="G27" s="527">
        <f t="shared" si="11"/>
        <v>57026.05544349623</v>
      </c>
      <c r="H27" s="527">
        <f t="shared" si="11"/>
        <v>57026.05544349623</v>
      </c>
      <c r="I27" s="527">
        <f t="shared" si="11"/>
        <v>57026.05544349623</v>
      </c>
      <c r="J27" s="528">
        <v>0.000175605538651146</v>
      </c>
      <c r="K27" s="527">
        <f>+I27</f>
        <v>57026.05544349623</v>
      </c>
      <c r="L27" s="527">
        <f>+K27</f>
        <v>57026.05544349623</v>
      </c>
      <c r="M27" s="527">
        <f>+L27</f>
        <v>57026.05544349623</v>
      </c>
      <c r="N27" s="527">
        <f>+M27</f>
        <v>57026.05544349623</v>
      </c>
      <c r="O27" s="527">
        <f>+N27</f>
        <v>57026.05544349623</v>
      </c>
    </row>
    <row r="28" spans="1:15" s="529" customFormat="1" ht="15">
      <c r="A28" s="526" t="s">
        <v>437</v>
      </c>
      <c r="B28" s="526"/>
      <c r="C28" s="527">
        <f>+C27</f>
        <v>56975.57044349623</v>
      </c>
      <c r="D28" s="527">
        <f aca="true" t="shared" si="12" ref="D28:I28">+D27</f>
        <v>57026.05544349623</v>
      </c>
      <c r="E28" s="527">
        <f t="shared" si="12"/>
        <v>57026.05544349623</v>
      </c>
      <c r="F28" s="527">
        <f t="shared" si="12"/>
        <v>57026.05544349623</v>
      </c>
      <c r="G28" s="527">
        <f t="shared" si="12"/>
        <v>57026.05544349623</v>
      </c>
      <c r="H28" s="527">
        <f t="shared" si="12"/>
        <v>57026.05544349623</v>
      </c>
      <c r="I28" s="527">
        <f t="shared" si="12"/>
        <v>57026.05544349623</v>
      </c>
      <c r="J28" s="528">
        <v>0.000175605538651146</v>
      </c>
      <c r="K28" s="527">
        <f>+K27</f>
        <v>57026.05544349623</v>
      </c>
      <c r="L28" s="527">
        <f>+L27</f>
        <v>57026.05544349623</v>
      </c>
      <c r="M28" s="527">
        <f>+M27</f>
        <v>57026.05544349623</v>
      </c>
      <c r="N28" s="527">
        <f>+N27</f>
        <v>57026.05544349623</v>
      </c>
      <c r="O28" s="527">
        <f>+O27</f>
        <v>57026.05544349623</v>
      </c>
    </row>
    <row r="29" spans="1:15" s="529" customFormat="1" ht="15">
      <c r="A29" s="526" t="s">
        <v>435</v>
      </c>
      <c r="B29" s="526"/>
      <c r="C29" s="527"/>
      <c r="D29" s="527"/>
      <c r="E29" s="527"/>
      <c r="F29" s="527"/>
      <c r="G29" s="527"/>
      <c r="H29" s="527"/>
      <c r="I29" s="527"/>
      <c r="J29" s="528"/>
      <c r="K29" s="527"/>
      <c r="L29" s="527"/>
      <c r="M29" s="527"/>
      <c r="N29" s="527"/>
      <c r="O29" s="527"/>
    </row>
    <row r="30" spans="1:15" s="529" customFormat="1" ht="15">
      <c r="A30" s="526" t="s">
        <v>438</v>
      </c>
      <c r="B30" s="526"/>
      <c r="C30" s="527"/>
      <c r="D30" s="527"/>
      <c r="E30" s="527"/>
      <c r="F30" s="527"/>
      <c r="G30" s="527"/>
      <c r="H30" s="527"/>
      <c r="I30" s="527"/>
      <c r="J30" s="528"/>
      <c r="K30" s="527"/>
      <c r="L30" s="527"/>
      <c r="M30" s="527"/>
      <c r="N30" s="527"/>
      <c r="O30" s="527"/>
    </row>
    <row r="31" spans="1:15" s="529" customFormat="1" ht="15">
      <c r="A31" s="526" t="s">
        <v>442</v>
      </c>
      <c r="B31" s="526"/>
      <c r="C31" s="530">
        <f aca="true" t="shared" si="13" ref="C31:I31">B31+((C26*$C$76)*($C$72/12)+(C26*$C$77)*($C$73/12))</f>
        <v>89.06820000720437</v>
      </c>
      <c r="D31" s="530">
        <f t="shared" si="13"/>
        <v>178.21532170035874</v>
      </c>
      <c r="E31" s="530">
        <f t="shared" si="13"/>
        <v>267.3624433935131</v>
      </c>
      <c r="F31" s="530">
        <f t="shared" si="13"/>
        <v>356.50956508666746</v>
      </c>
      <c r="G31" s="530">
        <f t="shared" si="13"/>
        <v>445.6566867798218</v>
      </c>
      <c r="H31" s="530">
        <f t="shared" si="13"/>
        <v>534.8038084729762</v>
      </c>
      <c r="I31" s="530">
        <f t="shared" si="13"/>
        <v>623.9509301661305</v>
      </c>
      <c r="J31" s="531">
        <v>2.08601137018715E-06</v>
      </c>
      <c r="K31" s="530">
        <f>I31+((K26*$C$76)*($C$72/12)+(K26*$C$77)*($C$73/12))</f>
        <v>713.0980518592849</v>
      </c>
      <c r="L31" s="530">
        <f>K31+((L26*$C$76)*($C$72/12)+(L26*$C$77)*($C$73/12))</f>
        <v>802.2451735524392</v>
      </c>
      <c r="M31" s="530">
        <f>L31+((M26*$C$76)*($C$72/12)+(M26*$C$77)*($C$73/12))</f>
        <v>891.3922952455935</v>
      </c>
      <c r="N31" s="530">
        <f>M31+((N26*$C$76)*($C$72/12)+(N26*$C$77)*($C$73/12))</f>
        <v>980.5394169387478</v>
      </c>
      <c r="O31" s="530">
        <f>N31+((O26*$C$76)*($C$72/12)+(O26*$C$77)*($C$73/12))</f>
        <v>1069.686538631902</v>
      </c>
    </row>
    <row r="32" spans="1:15" s="529" customFormat="1" ht="15">
      <c r="A32" s="526" t="s">
        <v>437</v>
      </c>
      <c r="B32" s="526"/>
      <c r="C32" s="532">
        <f>+C31</f>
        <v>89.06820000720437</v>
      </c>
      <c r="D32" s="532">
        <f aca="true" t="shared" si="14" ref="D32:I32">+D31</f>
        <v>178.21532170035874</v>
      </c>
      <c r="E32" s="532">
        <f t="shared" si="14"/>
        <v>267.3624433935131</v>
      </c>
      <c r="F32" s="532">
        <f t="shared" si="14"/>
        <v>356.50956508666746</v>
      </c>
      <c r="G32" s="532">
        <f t="shared" si="14"/>
        <v>445.6566867798218</v>
      </c>
      <c r="H32" s="532">
        <f t="shared" si="14"/>
        <v>534.8038084729762</v>
      </c>
      <c r="I32" s="532">
        <f t="shared" si="14"/>
        <v>623.9509301661305</v>
      </c>
      <c r="J32" s="531">
        <v>2.08601137018715E-06</v>
      </c>
      <c r="K32" s="532">
        <f>+K31</f>
        <v>713.0980518592849</v>
      </c>
      <c r="L32" s="532">
        <f>+L31</f>
        <v>802.2451735524392</v>
      </c>
      <c r="M32" s="532">
        <f>+M31</f>
        <v>891.3922952455935</v>
      </c>
      <c r="N32" s="532">
        <f>+N31</f>
        <v>980.5394169387478</v>
      </c>
      <c r="O32" s="532">
        <f>+O31</f>
        <v>1069.686538631902</v>
      </c>
    </row>
    <row r="33" spans="1:15" s="529" customFormat="1" ht="15">
      <c r="A33" s="526"/>
      <c r="B33" s="526"/>
      <c r="C33" s="527"/>
      <c r="D33" s="533"/>
      <c r="E33" s="533"/>
      <c r="F33" s="533"/>
      <c r="G33" s="527"/>
      <c r="H33" s="527"/>
      <c r="I33" s="527"/>
      <c r="J33" s="528"/>
      <c r="K33" s="527"/>
      <c r="L33" s="527"/>
      <c r="M33" s="527"/>
      <c r="N33" s="527"/>
      <c r="O33" s="527"/>
    </row>
    <row r="34" spans="1:15" s="529" customFormat="1" ht="15">
      <c r="A34" s="526" t="s">
        <v>440</v>
      </c>
      <c r="B34" s="526"/>
      <c r="C34" s="527"/>
      <c r="D34" s="527"/>
      <c r="E34" s="527"/>
      <c r="F34" s="527"/>
      <c r="G34" s="527"/>
      <c r="H34" s="527"/>
      <c r="I34" s="527"/>
      <c r="J34" s="528"/>
      <c r="K34" s="527"/>
      <c r="L34" s="527"/>
      <c r="M34" s="527"/>
      <c r="N34" s="527"/>
      <c r="O34" s="527"/>
    </row>
    <row r="35" spans="1:15" s="529" customFormat="1" ht="15">
      <c r="A35" s="526" t="s">
        <v>441</v>
      </c>
      <c r="B35" s="526"/>
      <c r="C35" s="527">
        <f>+C27-C31</f>
        <v>56886.50224348903</v>
      </c>
      <c r="D35" s="527">
        <f aca="true" t="shared" si="15" ref="D35:I35">+D27-D31</f>
        <v>56847.840121795874</v>
      </c>
      <c r="E35" s="527">
        <f t="shared" si="15"/>
        <v>56758.69300010272</v>
      </c>
      <c r="F35" s="527">
        <f t="shared" si="15"/>
        <v>56669.54587840957</v>
      </c>
      <c r="G35" s="527">
        <f t="shared" si="15"/>
        <v>56580.39875671641</v>
      </c>
      <c r="H35" s="527">
        <f t="shared" si="15"/>
        <v>56491.251635023254</v>
      </c>
      <c r="I35" s="527">
        <f t="shared" si="15"/>
        <v>56402.1045133301</v>
      </c>
      <c r="J35" s="528">
        <v>0.000173519527280959</v>
      </c>
      <c r="K35" s="527">
        <f>+K27-K31</f>
        <v>56312.95739163695</v>
      </c>
      <c r="L35" s="527">
        <f>+L27-L31</f>
        <v>56223.810269943795</v>
      </c>
      <c r="M35" s="527">
        <f>+M27-M31</f>
        <v>56134.66314825064</v>
      </c>
      <c r="N35" s="527">
        <f>+N27-N31</f>
        <v>56045.51602655748</v>
      </c>
      <c r="O35" s="527">
        <f>+O27-O31</f>
        <v>55956.36890486433</v>
      </c>
    </row>
    <row r="36" spans="1:15" s="529" customFormat="1" ht="15">
      <c r="A36" s="526" t="s">
        <v>434</v>
      </c>
      <c r="B36" s="526"/>
      <c r="C36" s="527">
        <f>+C35</f>
        <v>56886.50224348903</v>
      </c>
      <c r="D36" s="527">
        <f aca="true" t="shared" si="16" ref="D36:I36">+D35</f>
        <v>56847.840121795874</v>
      </c>
      <c r="E36" s="527">
        <f t="shared" si="16"/>
        <v>56758.69300010272</v>
      </c>
      <c r="F36" s="527">
        <f t="shared" si="16"/>
        <v>56669.54587840957</v>
      </c>
      <c r="G36" s="527">
        <f t="shared" si="16"/>
        <v>56580.39875671641</v>
      </c>
      <c r="H36" s="527">
        <f t="shared" si="16"/>
        <v>56491.251635023254</v>
      </c>
      <c r="I36" s="527">
        <f t="shared" si="16"/>
        <v>56402.1045133301</v>
      </c>
      <c r="J36" s="528">
        <v>0.000173519527280959</v>
      </c>
      <c r="K36" s="527">
        <f>+K35</f>
        <v>56312.95739163695</v>
      </c>
      <c r="L36" s="527">
        <f>+L35</f>
        <v>56223.810269943795</v>
      </c>
      <c r="M36" s="527">
        <f>+M35</f>
        <v>56134.66314825064</v>
      </c>
      <c r="N36" s="527">
        <f>+N35</f>
        <v>56045.51602655748</v>
      </c>
      <c r="O36" s="527">
        <f>+O35</f>
        <v>55956.36890486433</v>
      </c>
    </row>
    <row r="37" spans="1:15" s="529" customFormat="1" ht="15">
      <c r="A37" s="229"/>
      <c r="B37" s="229"/>
      <c r="C37" s="230"/>
      <c r="D37" s="230"/>
      <c r="E37" s="230"/>
      <c r="F37" s="230"/>
      <c r="G37" s="230"/>
      <c r="H37" s="230"/>
      <c r="I37" s="230"/>
      <c r="J37" s="231"/>
      <c r="K37" s="230"/>
      <c r="L37" s="230"/>
      <c r="M37" s="230"/>
      <c r="N37" s="230"/>
      <c r="O37" s="230"/>
    </row>
    <row r="38" spans="1:15" ht="15">
      <c r="A38" s="509" t="s">
        <v>432</v>
      </c>
      <c r="B38" s="509"/>
      <c r="C38" s="510"/>
      <c r="D38" s="510"/>
      <c r="E38" s="510"/>
      <c r="F38" s="510"/>
      <c r="G38" s="510"/>
      <c r="H38" s="510"/>
      <c r="I38" s="510"/>
      <c r="J38" s="511"/>
      <c r="K38" s="510"/>
      <c r="L38" s="510"/>
      <c r="M38" s="510"/>
      <c r="N38" s="510"/>
      <c r="O38" s="510"/>
    </row>
    <row r="39" spans="1:15" s="512" customFormat="1" ht="15">
      <c r="A39" s="509" t="s">
        <v>559</v>
      </c>
      <c r="B39" s="509"/>
      <c r="C39" s="510">
        <f>25460057.5599493/1000</f>
        <v>25460.057559949302</v>
      </c>
      <c r="D39" s="510">
        <f>C39</f>
        <v>25460.057559949302</v>
      </c>
      <c r="E39" s="510">
        <f aca="true" t="shared" si="17" ref="E39:O39">+D39</f>
        <v>25460.057559949302</v>
      </c>
      <c r="F39" s="510">
        <f t="shared" si="17"/>
        <v>25460.057559949302</v>
      </c>
      <c r="G39" s="510">
        <f t="shared" si="17"/>
        <v>25460.057559949302</v>
      </c>
      <c r="H39" s="510">
        <f t="shared" si="17"/>
        <v>25460.057559949302</v>
      </c>
      <c r="I39" s="510">
        <f t="shared" si="17"/>
        <v>25460.057559949302</v>
      </c>
      <c r="J39" s="510">
        <f t="shared" si="17"/>
        <v>25460.057559949302</v>
      </c>
      <c r="K39" s="510">
        <f>+J39</f>
        <v>25460.057559949302</v>
      </c>
      <c r="L39" s="510">
        <f t="shared" si="17"/>
        <v>25460.057559949302</v>
      </c>
      <c r="M39" s="510">
        <f t="shared" si="17"/>
        <v>25460.057559949302</v>
      </c>
      <c r="N39" s="510">
        <f t="shared" si="17"/>
        <v>25460.057559949302</v>
      </c>
      <c r="O39" s="510">
        <f t="shared" si="17"/>
        <v>25460.057559949302</v>
      </c>
    </row>
    <row r="40" spans="1:15" s="512" customFormat="1" ht="15">
      <c r="A40" s="509" t="s">
        <v>434</v>
      </c>
      <c r="B40" s="509"/>
      <c r="C40" s="510">
        <f>+C39</f>
        <v>25460.057559949302</v>
      </c>
      <c r="D40" s="510">
        <f aca="true" t="shared" si="18" ref="D40:I40">+C40+(D39-C39)</f>
        <v>25460.057559949302</v>
      </c>
      <c r="E40" s="510">
        <f t="shared" si="18"/>
        <v>25460.057559949302</v>
      </c>
      <c r="F40" s="510">
        <f t="shared" si="18"/>
        <v>25460.057559949302</v>
      </c>
      <c r="G40" s="510">
        <f t="shared" si="18"/>
        <v>25460.057559949302</v>
      </c>
      <c r="H40" s="510">
        <f t="shared" si="18"/>
        <v>25460.057559949302</v>
      </c>
      <c r="I40" s="510">
        <f t="shared" si="18"/>
        <v>25460.057559949302</v>
      </c>
      <c r="J40" s="511">
        <v>8.78027693255732E-05</v>
      </c>
      <c r="K40" s="510">
        <f>+I40+(K39-I39)</f>
        <v>25460.057559949302</v>
      </c>
      <c r="L40" s="510">
        <f>+K40+(L39-K39)</f>
        <v>25460.057559949302</v>
      </c>
      <c r="M40" s="510">
        <f>+L40+(M39-L39)</f>
        <v>25460.057559949302</v>
      </c>
      <c r="N40" s="510">
        <f>+M40+(N39-M39)</f>
        <v>25460.057559949302</v>
      </c>
      <c r="O40" s="510">
        <f>+N40+(O39-N39)</f>
        <v>25460.057559949302</v>
      </c>
    </row>
    <row r="41" spans="1:15" s="512" customFormat="1" ht="15">
      <c r="A41" s="509" t="s">
        <v>436</v>
      </c>
      <c r="B41" s="509"/>
      <c r="C41" s="510"/>
      <c r="D41" s="510"/>
      <c r="E41" s="510"/>
      <c r="F41" s="510"/>
      <c r="G41" s="510"/>
      <c r="H41" s="510"/>
      <c r="I41" s="510"/>
      <c r="J41" s="511"/>
      <c r="K41" s="510"/>
      <c r="L41" s="510"/>
      <c r="M41" s="510"/>
      <c r="N41" s="510"/>
      <c r="O41" s="510"/>
    </row>
    <row r="42" spans="1:15" s="512" customFormat="1" ht="15">
      <c r="A42" s="509" t="s">
        <v>559</v>
      </c>
      <c r="B42" s="509"/>
      <c r="C42" s="510">
        <f aca="true" t="shared" si="19" ref="C42:I42">+C39</f>
        <v>25460.057559949302</v>
      </c>
      <c r="D42" s="510">
        <f t="shared" si="19"/>
        <v>25460.057559949302</v>
      </c>
      <c r="E42" s="510">
        <f t="shared" si="19"/>
        <v>25460.057559949302</v>
      </c>
      <c r="F42" s="510">
        <f t="shared" si="19"/>
        <v>25460.057559949302</v>
      </c>
      <c r="G42" s="510">
        <f t="shared" si="19"/>
        <v>25460.057559949302</v>
      </c>
      <c r="H42" s="510">
        <f t="shared" si="19"/>
        <v>25460.057559949302</v>
      </c>
      <c r="I42" s="510">
        <f t="shared" si="19"/>
        <v>25460.057559949302</v>
      </c>
      <c r="J42" s="511">
        <v>0.000175605538651146</v>
      </c>
      <c r="K42" s="510">
        <f>+I42</f>
        <v>25460.057559949302</v>
      </c>
      <c r="L42" s="510">
        <f>+K42</f>
        <v>25460.057559949302</v>
      </c>
      <c r="M42" s="510">
        <f>+L42</f>
        <v>25460.057559949302</v>
      </c>
      <c r="N42" s="510">
        <f>+M42</f>
        <v>25460.057559949302</v>
      </c>
      <c r="O42" s="510">
        <f>+N42</f>
        <v>25460.057559949302</v>
      </c>
    </row>
    <row r="43" spans="1:15" s="512" customFormat="1" ht="15">
      <c r="A43" s="509" t="s">
        <v>437</v>
      </c>
      <c r="B43" s="509"/>
      <c r="C43" s="510">
        <f>+C42</f>
        <v>25460.057559949302</v>
      </c>
      <c r="D43" s="510">
        <f aca="true" t="shared" si="20" ref="D43:I43">+D42</f>
        <v>25460.057559949302</v>
      </c>
      <c r="E43" s="510">
        <f t="shared" si="20"/>
        <v>25460.057559949302</v>
      </c>
      <c r="F43" s="510">
        <f t="shared" si="20"/>
        <v>25460.057559949302</v>
      </c>
      <c r="G43" s="510">
        <f t="shared" si="20"/>
        <v>25460.057559949302</v>
      </c>
      <c r="H43" s="510">
        <f t="shared" si="20"/>
        <v>25460.057559949302</v>
      </c>
      <c r="I43" s="510">
        <f t="shared" si="20"/>
        <v>25460.057559949302</v>
      </c>
      <c r="J43" s="511">
        <v>0.000175605538651146</v>
      </c>
      <c r="K43" s="510">
        <f>+K42</f>
        <v>25460.057559949302</v>
      </c>
      <c r="L43" s="510">
        <f>+L42</f>
        <v>25460.057559949302</v>
      </c>
      <c r="M43" s="510">
        <f>+M42</f>
        <v>25460.057559949302</v>
      </c>
      <c r="N43" s="510">
        <f>+N42</f>
        <v>25460.057559949302</v>
      </c>
      <c r="O43" s="510">
        <f>+O42</f>
        <v>25460.057559949302</v>
      </c>
    </row>
    <row r="44" spans="1:15" s="512" customFormat="1" ht="15">
      <c r="A44" s="509" t="s">
        <v>435</v>
      </c>
      <c r="B44" s="509"/>
      <c r="C44" s="510"/>
      <c r="D44" s="510"/>
      <c r="E44" s="510"/>
      <c r="F44" s="510"/>
      <c r="G44" s="510"/>
      <c r="H44" s="510"/>
      <c r="I44" s="510"/>
      <c r="J44" s="511"/>
      <c r="K44" s="510"/>
      <c r="L44" s="510"/>
      <c r="M44" s="510"/>
      <c r="N44" s="510"/>
      <c r="O44" s="510"/>
    </row>
    <row r="45" spans="1:15" s="512" customFormat="1" ht="15">
      <c r="A45" s="509" t="s">
        <v>438</v>
      </c>
      <c r="B45" s="509"/>
      <c r="C45" s="510"/>
      <c r="D45" s="510"/>
      <c r="E45" s="510"/>
      <c r="F45" s="510"/>
      <c r="G45" s="510"/>
      <c r="H45" s="510"/>
      <c r="I45" s="510"/>
      <c r="J45" s="511"/>
      <c r="K45" s="510"/>
      <c r="L45" s="510"/>
      <c r="M45" s="510"/>
      <c r="N45" s="510"/>
      <c r="O45" s="510"/>
    </row>
    <row r="46" spans="1:15" s="512" customFormat="1" ht="15">
      <c r="A46" s="509" t="s">
        <v>559</v>
      </c>
      <c r="B46" s="509"/>
      <c r="C46" s="514">
        <f>C43*($C$74/12)</f>
        <v>75.10716980185045</v>
      </c>
      <c r="D46" s="514">
        <f>C46+(D43*($C$74/12))</f>
        <v>150.2143396037009</v>
      </c>
      <c r="E46" s="514">
        <f aca="true" t="shared" si="21" ref="E46:O46">D46+(E43*($C$74/12))</f>
        <v>225.32150940555135</v>
      </c>
      <c r="F46" s="514">
        <f t="shared" si="21"/>
        <v>300.4286792074018</v>
      </c>
      <c r="G46" s="514">
        <f t="shared" si="21"/>
        <v>375.5358490092522</v>
      </c>
      <c r="H46" s="514">
        <f t="shared" si="21"/>
        <v>450.64301881110265</v>
      </c>
      <c r="I46" s="514">
        <f t="shared" si="21"/>
        <v>525.7501886129531</v>
      </c>
      <c r="J46" s="513">
        <v>2.08601137018715E-06</v>
      </c>
      <c r="K46" s="514">
        <f>I46+(K43*($C$74/12))</f>
        <v>600.8573584148036</v>
      </c>
      <c r="L46" s="514">
        <f t="shared" si="21"/>
        <v>675.964528216654</v>
      </c>
      <c r="M46" s="514">
        <f t="shared" si="21"/>
        <v>751.0716980185044</v>
      </c>
      <c r="N46" s="514">
        <f t="shared" si="21"/>
        <v>826.1788678203549</v>
      </c>
      <c r="O46" s="514">
        <f t="shared" si="21"/>
        <v>901.2860376222053</v>
      </c>
    </row>
    <row r="47" spans="1:15" s="512" customFormat="1" ht="15">
      <c r="A47" s="509" t="s">
        <v>437</v>
      </c>
      <c r="B47" s="509"/>
      <c r="C47" s="514">
        <f>+C46</f>
        <v>75.10716980185045</v>
      </c>
      <c r="D47" s="514">
        <f aca="true" t="shared" si="22" ref="D47:I47">+D46</f>
        <v>150.2143396037009</v>
      </c>
      <c r="E47" s="514">
        <f t="shared" si="22"/>
        <v>225.32150940555135</v>
      </c>
      <c r="F47" s="514">
        <f t="shared" si="22"/>
        <v>300.4286792074018</v>
      </c>
      <c r="G47" s="514">
        <f t="shared" si="22"/>
        <v>375.5358490092522</v>
      </c>
      <c r="H47" s="514">
        <f t="shared" si="22"/>
        <v>450.64301881110265</v>
      </c>
      <c r="I47" s="514">
        <f t="shared" si="22"/>
        <v>525.7501886129531</v>
      </c>
      <c r="J47" s="513">
        <v>2.08601137018715E-06</v>
      </c>
      <c r="K47" s="514">
        <f>+K46</f>
        <v>600.8573584148036</v>
      </c>
      <c r="L47" s="514">
        <f>+L46</f>
        <v>675.964528216654</v>
      </c>
      <c r="M47" s="514">
        <f>+M46</f>
        <v>751.0716980185044</v>
      </c>
      <c r="N47" s="514">
        <f>+N46</f>
        <v>826.1788678203549</v>
      </c>
      <c r="O47" s="514">
        <f>+O46</f>
        <v>901.2860376222053</v>
      </c>
    </row>
    <row r="48" spans="1:15" s="512" customFormat="1" ht="15">
      <c r="A48" s="509"/>
      <c r="B48" s="509"/>
      <c r="C48" s="510"/>
      <c r="D48" s="515"/>
      <c r="E48" s="515"/>
      <c r="F48" s="515"/>
      <c r="G48" s="510"/>
      <c r="H48" s="510"/>
      <c r="I48" s="510"/>
      <c r="J48" s="511"/>
      <c r="K48" s="510"/>
      <c r="L48" s="510"/>
      <c r="M48" s="510"/>
      <c r="N48" s="510"/>
      <c r="O48" s="510"/>
    </row>
    <row r="49" spans="1:15" s="512" customFormat="1" ht="15">
      <c r="A49" s="509" t="s">
        <v>440</v>
      </c>
      <c r="B49" s="509"/>
      <c r="C49" s="510"/>
      <c r="D49" s="510"/>
      <c r="E49" s="510"/>
      <c r="F49" s="510"/>
      <c r="G49" s="510"/>
      <c r="H49" s="510"/>
      <c r="I49" s="510"/>
      <c r="J49" s="511"/>
      <c r="K49" s="510"/>
      <c r="L49" s="510"/>
      <c r="M49" s="510"/>
      <c r="N49" s="510"/>
      <c r="O49" s="510"/>
    </row>
    <row r="50" spans="1:15" s="512" customFormat="1" ht="15">
      <c r="A50" s="509" t="s">
        <v>559</v>
      </c>
      <c r="B50" s="509"/>
      <c r="C50" s="510">
        <f>+C42-C46</f>
        <v>25384.950390147453</v>
      </c>
      <c r="D50" s="510">
        <f aca="true" t="shared" si="23" ref="D50:I50">+D42-D46</f>
        <v>25309.8432203456</v>
      </c>
      <c r="E50" s="510">
        <f t="shared" si="23"/>
        <v>25234.73605054375</v>
      </c>
      <c r="F50" s="510">
        <f t="shared" si="23"/>
        <v>25159.6288807419</v>
      </c>
      <c r="G50" s="510">
        <f t="shared" si="23"/>
        <v>25084.52171094005</v>
      </c>
      <c r="H50" s="510">
        <f t="shared" si="23"/>
        <v>25009.414541138198</v>
      </c>
      <c r="I50" s="510">
        <f t="shared" si="23"/>
        <v>24934.30737133635</v>
      </c>
      <c r="J50" s="511">
        <v>0.000173519527280959</v>
      </c>
      <c r="K50" s="510">
        <f>+K42-K46</f>
        <v>24859.2002015345</v>
      </c>
      <c r="L50" s="510">
        <f>+L42-L46</f>
        <v>24784.09303173265</v>
      </c>
      <c r="M50" s="510">
        <f>+M42-M46</f>
        <v>24708.985861930796</v>
      </c>
      <c r="N50" s="510">
        <f>+N42-N46</f>
        <v>24633.878692128947</v>
      </c>
      <c r="O50" s="510">
        <f>+O42-O46</f>
        <v>24558.771522327097</v>
      </c>
    </row>
    <row r="51" spans="1:15" s="512" customFormat="1" ht="15">
      <c r="A51" s="509" t="s">
        <v>434</v>
      </c>
      <c r="B51" s="509"/>
      <c r="C51" s="510">
        <f>+C50</f>
        <v>25384.950390147453</v>
      </c>
      <c r="D51" s="510">
        <f aca="true" t="shared" si="24" ref="D51:I51">+D50</f>
        <v>25309.8432203456</v>
      </c>
      <c r="E51" s="510">
        <f t="shared" si="24"/>
        <v>25234.73605054375</v>
      </c>
      <c r="F51" s="510">
        <f t="shared" si="24"/>
        <v>25159.6288807419</v>
      </c>
      <c r="G51" s="510">
        <f t="shared" si="24"/>
        <v>25084.52171094005</v>
      </c>
      <c r="H51" s="510">
        <f t="shared" si="24"/>
        <v>25009.414541138198</v>
      </c>
      <c r="I51" s="510">
        <f t="shared" si="24"/>
        <v>24934.30737133635</v>
      </c>
      <c r="J51" s="511">
        <v>0.000173519527280959</v>
      </c>
      <c r="K51" s="510">
        <f>+K50</f>
        <v>24859.2002015345</v>
      </c>
      <c r="L51" s="510">
        <f>+L50</f>
        <v>24784.09303173265</v>
      </c>
      <c r="M51" s="510">
        <f>+M50</f>
        <v>24708.985861930796</v>
      </c>
      <c r="N51" s="510">
        <f>+N50</f>
        <v>24633.878692128947</v>
      </c>
      <c r="O51" s="510">
        <f>+O50</f>
        <v>24558.771522327097</v>
      </c>
    </row>
    <row r="52" spans="1:15" s="512" customFormat="1" ht="15">
      <c r="A52" s="229"/>
      <c r="B52" s="229"/>
      <c r="C52" s="230"/>
      <c r="D52" s="230"/>
      <c r="E52" s="230"/>
      <c r="F52" s="230"/>
      <c r="G52" s="230"/>
      <c r="H52" s="230"/>
      <c r="I52" s="230"/>
      <c r="J52" s="231"/>
      <c r="K52" s="230"/>
      <c r="L52" s="230"/>
      <c r="M52" s="230"/>
      <c r="N52" s="230"/>
      <c r="O52" s="230"/>
    </row>
    <row r="53" spans="1:15" ht="15">
      <c r="A53" s="235" t="s">
        <v>432</v>
      </c>
      <c r="B53" s="235"/>
      <c r="C53" s="230"/>
      <c r="D53" s="230"/>
      <c r="E53" s="230"/>
      <c r="F53" s="230"/>
      <c r="G53" s="230"/>
      <c r="H53" s="230"/>
      <c r="I53" s="230"/>
      <c r="J53" s="231"/>
      <c r="K53" s="230"/>
      <c r="L53" s="230"/>
      <c r="M53" s="230"/>
      <c r="N53" s="230"/>
      <c r="O53" s="230"/>
    </row>
    <row r="54" spans="1:15" ht="15">
      <c r="A54" s="235" t="s">
        <v>429</v>
      </c>
      <c r="B54" s="235"/>
      <c r="C54" s="239">
        <f aca="true" t="shared" si="25" ref="C54:O54">+C8+C25+C39</f>
        <v>1229608.5131590602</v>
      </c>
      <c r="D54" s="239">
        <f t="shared" si="25"/>
        <v>1229658.99815906</v>
      </c>
      <c r="E54" s="239">
        <f t="shared" si="25"/>
        <v>1229658.99815906</v>
      </c>
      <c r="F54" s="239">
        <f t="shared" si="25"/>
        <v>1229658.99815906</v>
      </c>
      <c r="G54" s="239">
        <f t="shared" si="25"/>
        <v>1229658.99815906</v>
      </c>
      <c r="H54" s="239">
        <f t="shared" si="25"/>
        <v>1229658.99815906</v>
      </c>
      <c r="I54" s="239">
        <f t="shared" si="25"/>
        <v>1229658.99815906</v>
      </c>
      <c r="J54" s="239">
        <f t="shared" si="25"/>
        <v>82486.1130912483</v>
      </c>
      <c r="K54" s="239">
        <f t="shared" si="25"/>
        <v>1229658.99815906</v>
      </c>
      <c r="L54" s="239">
        <f t="shared" si="25"/>
        <v>1229658.99815906</v>
      </c>
      <c r="M54" s="239">
        <f t="shared" si="25"/>
        <v>1229658.99815906</v>
      </c>
      <c r="N54" s="239">
        <f t="shared" si="25"/>
        <v>1229658.99815906</v>
      </c>
      <c r="O54" s="239">
        <f t="shared" si="25"/>
        <v>1229658.99815906</v>
      </c>
    </row>
    <row r="55" spans="1:15" s="240" customFormat="1" ht="15">
      <c r="A55" s="235" t="s">
        <v>434</v>
      </c>
      <c r="B55" s="235"/>
      <c r="C55" s="239">
        <f aca="true" t="shared" si="26" ref="C55:O55">+C9+C26+C40</f>
        <v>1229608.5131590602</v>
      </c>
      <c r="D55" s="239">
        <f t="shared" si="26"/>
        <v>1229658.99815906</v>
      </c>
      <c r="E55" s="239">
        <f t="shared" si="26"/>
        <v>1229658.99815906</v>
      </c>
      <c r="F55" s="239">
        <f t="shared" si="26"/>
        <v>1229658.99815906</v>
      </c>
      <c r="G55" s="239">
        <f t="shared" si="26"/>
        <v>1229658.99815906</v>
      </c>
      <c r="H55" s="239">
        <f t="shared" si="26"/>
        <v>1229658.99815906</v>
      </c>
      <c r="I55" s="239">
        <f t="shared" si="26"/>
        <v>1229658.99815906</v>
      </c>
      <c r="J55" s="239">
        <f t="shared" si="26"/>
        <v>0.0002634083079767196</v>
      </c>
      <c r="K55" s="239">
        <f t="shared" si="26"/>
        <v>1229658.99815906</v>
      </c>
      <c r="L55" s="239">
        <f t="shared" si="26"/>
        <v>1229658.99815906</v>
      </c>
      <c r="M55" s="239">
        <f t="shared" si="26"/>
        <v>1229658.99815906</v>
      </c>
      <c r="N55" s="239">
        <f t="shared" si="26"/>
        <v>1229658.99815906</v>
      </c>
      <c r="O55" s="239">
        <f t="shared" si="26"/>
        <v>1229658.99815906</v>
      </c>
    </row>
    <row r="56" spans="1:15" s="240" customFormat="1" ht="15">
      <c r="A56" s="235"/>
      <c r="B56" s="235"/>
      <c r="C56"/>
      <c r="D56" s="230"/>
      <c r="E56" s="230"/>
      <c r="F56" s="230"/>
      <c r="G56" s="230"/>
      <c r="H56" s="230"/>
      <c r="I56" s="230"/>
      <c r="J56" s="231"/>
      <c r="K56" s="230"/>
      <c r="L56" s="230"/>
      <c r="M56" s="230"/>
      <c r="N56" s="230"/>
      <c r="O56" s="230"/>
    </row>
    <row r="57" spans="1:15" ht="15">
      <c r="A57" s="235" t="s">
        <v>436</v>
      </c>
      <c r="B57" s="235"/>
      <c r="C57" s="230"/>
      <c r="D57" s="230"/>
      <c r="E57" s="230"/>
      <c r="F57" s="230"/>
      <c r="G57" s="230"/>
      <c r="H57" s="230"/>
      <c r="I57" s="230"/>
      <c r="J57" s="231"/>
      <c r="K57" s="230"/>
      <c r="L57" s="230"/>
      <c r="M57" s="230"/>
      <c r="N57" s="230"/>
      <c r="O57" s="230"/>
    </row>
    <row r="58" spans="1:15" ht="15">
      <c r="A58" s="235" t="s">
        <v>429</v>
      </c>
      <c r="B58" s="235"/>
      <c r="C58" s="230">
        <f aca="true" t="shared" si="27" ref="C58:O58">+C12+C27+C42</f>
        <v>1229608.5131590602</v>
      </c>
      <c r="D58" s="230">
        <f t="shared" si="27"/>
        <v>1229658.99815906</v>
      </c>
      <c r="E58" s="230">
        <f t="shared" si="27"/>
        <v>1229658.99815906</v>
      </c>
      <c r="F58" s="230">
        <f t="shared" si="27"/>
        <v>1229658.99815906</v>
      </c>
      <c r="G58" s="230">
        <f t="shared" si="27"/>
        <v>1229658.99815906</v>
      </c>
      <c r="H58" s="230">
        <f t="shared" si="27"/>
        <v>1229658.99815906</v>
      </c>
      <c r="I58" s="230">
        <f t="shared" si="27"/>
        <v>1229658.99815906</v>
      </c>
      <c r="J58" s="230">
        <f t="shared" si="27"/>
        <v>0.000526816615953438</v>
      </c>
      <c r="K58" s="230">
        <f t="shared" si="27"/>
        <v>1229658.99815906</v>
      </c>
      <c r="L58" s="230">
        <f t="shared" si="27"/>
        <v>1229658.99815906</v>
      </c>
      <c r="M58" s="230">
        <f t="shared" si="27"/>
        <v>1229658.99815906</v>
      </c>
      <c r="N58" s="230">
        <f t="shared" si="27"/>
        <v>1229658.99815906</v>
      </c>
      <c r="O58" s="230">
        <f t="shared" si="27"/>
        <v>1229658.99815906</v>
      </c>
    </row>
    <row r="59" spans="1:15" ht="15">
      <c r="A59" s="235" t="s">
        <v>437</v>
      </c>
      <c r="B59" s="235"/>
      <c r="C59" s="230">
        <f aca="true" t="shared" si="28" ref="C59:O59">+C13+C28+C43</f>
        <v>1229608.5131590602</v>
      </c>
      <c r="D59" s="230">
        <f t="shared" si="28"/>
        <v>1229658.99815906</v>
      </c>
      <c r="E59" s="230">
        <f t="shared" si="28"/>
        <v>1229658.99815906</v>
      </c>
      <c r="F59" s="230">
        <f t="shared" si="28"/>
        <v>1229658.99815906</v>
      </c>
      <c r="G59" s="230">
        <f t="shared" si="28"/>
        <v>1229658.99815906</v>
      </c>
      <c r="H59" s="230">
        <f t="shared" si="28"/>
        <v>1229658.99815906</v>
      </c>
      <c r="I59" s="230">
        <f t="shared" si="28"/>
        <v>1229658.99815906</v>
      </c>
      <c r="J59" s="230">
        <f t="shared" si="28"/>
        <v>0.000526816615953438</v>
      </c>
      <c r="K59" s="230">
        <f t="shared" si="28"/>
        <v>1229658.99815906</v>
      </c>
      <c r="L59" s="230">
        <f t="shared" si="28"/>
        <v>1229658.99815906</v>
      </c>
      <c r="M59" s="230">
        <f t="shared" si="28"/>
        <v>1229658.99815906</v>
      </c>
      <c r="N59" s="230">
        <f t="shared" si="28"/>
        <v>1229658.99815906</v>
      </c>
      <c r="O59" s="230">
        <f t="shared" si="28"/>
        <v>1229658.99815906</v>
      </c>
    </row>
    <row r="60" spans="1:15" ht="15">
      <c r="A60" s="235" t="s">
        <v>435</v>
      </c>
      <c r="B60" s="235"/>
      <c r="C60" s="230"/>
      <c r="D60" s="230"/>
      <c r="E60" s="230"/>
      <c r="F60" s="230"/>
      <c r="G60" s="230"/>
      <c r="H60" s="230"/>
      <c r="I60" s="230"/>
      <c r="J60" s="231"/>
      <c r="K60" s="230"/>
      <c r="L60" s="230"/>
      <c r="M60" s="230"/>
      <c r="N60" s="230"/>
      <c r="O60" s="230"/>
    </row>
    <row r="61" spans="1:15" ht="15">
      <c r="A61" s="235" t="s">
        <v>438</v>
      </c>
      <c r="B61" s="235"/>
      <c r="C61" s="230"/>
      <c r="D61" s="230"/>
      <c r="E61" s="230"/>
      <c r="F61" s="230"/>
      <c r="G61" s="230"/>
      <c r="H61" s="230"/>
      <c r="I61" s="230"/>
      <c r="J61" s="231"/>
      <c r="K61" s="230"/>
      <c r="L61" s="230"/>
      <c r="M61" s="230"/>
      <c r="N61" s="230"/>
      <c r="O61" s="230"/>
    </row>
    <row r="62" spans="1:15" ht="15">
      <c r="A62" s="235" t="s">
        <v>443</v>
      </c>
      <c r="B62" s="235"/>
      <c r="C62" s="230">
        <f aca="true" t="shared" si="29" ref="C62:O62">+C16+C31+C46</f>
        <v>3605.6940252758977</v>
      </c>
      <c r="D62" s="230">
        <f t="shared" si="29"/>
        <v>7211.466972237746</v>
      </c>
      <c r="E62" s="230">
        <f t="shared" si="29"/>
        <v>10817.239919199594</v>
      </c>
      <c r="F62" s="230">
        <f t="shared" si="29"/>
        <v>14423.012866161442</v>
      </c>
      <c r="G62" s="230">
        <f t="shared" si="29"/>
        <v>18028.785813123286</v>
      </c>
      <c r="H62" s="230">
        <f t="shared" si="29"/>
        <v>21634.55876008514</v>
      </c>
      <c r="I62" s="230">
        <f t="shared" si="29"/>
        <v>25240.331707046986</v>
      </c>
      <c r="J62" s="230">
        <f t="shared" si="29"/>
        <v>6.25803411056145E-06</v>
      </c>
      <c r="K62" s="230">
        <f t="shared" si="29"/>
        <v>28846.104654008832</v>
      </c>
      <c r="L62" s="230">
        <f t="shared" si="29"/>
        <v>32451.877600970678</v>
      </c>
      <c r="M62" s="230">
        <f t="shared" si="29"/>
        <v>36057.65054793252</v>
      </c>
      <c r="N62" s="230">
        <f t="shared" si="29"/>
        <v>39663.42349489437</v>
      </c>
      <c r="O62" s="230">
        <f t="shared" si="29"/>
        <v>43269.19644185622</v>
      </c>
    </row>
    <row r="63" spans="1:15" ht="15">
      <c r="A63" s="235" t="s">
        <v>437</v>
      </c>
      <c r="B63" s="235"/>
      <c r="C63" s="230">
        <f aca="true" t="shared" si="30" ref="C63:O63">+C17+C32+C47</f>
        <v>3605.6940252758977</v>
      </c>
      <c r="D63" s="230">
        <f t="shared" si="30"/>
        <v>7211.466972237746</v>
      </c>
      <c r="E63" s="230">
        <f t="shared" si="30"/>
        <v>10817.239919199594</v>
      </c>
      <c r="F63" s="230">
        <f t="shared" si="30"/>
        <v>14423.012866161442</v>
      </c>
      <c r="G63" s="230">
        <f t="shared" si="30"/>
        <v>18028.785813123286</v>
      </c>
      <c r="H63" s="230">
        <f t="shared" si="30"/>
        <v>21634.55876008514</v>
      </c>
      <c r="I63" s="230">
        <f t="shared" si="30"/>
        <v>25240.331707046986</v>
      </c>
      <c r="J63" s="230">
        <f t="shared" si="30"/>
        <v>6.25803411056145E-06</v>
      </c>
      <c r="K63" s="230">
        <f t="shared" si="30"/>
        <v>28846.104654008832</v>
      </c>
      <c r="L63" s="230">
        <f t="shared" si="30"/>
        <v>32451.877600970678</v>
      </c>
      <c r="M63" s="230">
        <f t="shared" si="30"/>
        <v>36057.65054793252</v>
      </c>
      <c r="N63" s="230">
        <f t="shared" si="30"/>
        <v>39663.42349489437</v>
      </c>
      <c r="O63" s="230">
        <f t="shared" si="30"/>
        <v>43269.19644185622</v>
      </c>
    </row>
    <row r="64" spans="1:15" ht="15">
      <c r="A64" s="235"/>
      <c r="B64" s="235"/>
      <c r="C64" s="230"/>
      <c r="D64" s="230"/>
      <c r="E64" s="230"/>
      <c r="F64" s="230"/>
      <c r="G64" s="230"/>
      <c r="H64" s="230"/>
      <c r="I64" s="230"/>
      <c r="J64" s="231"/>
      <c r="K64" s="230"/>
      <c r="L64" s="230"/>
      <c r="M64" s="230"/>
      <c r="N64" s="230"/>
      <c r="O64" s="230"/>
    </row>
    <row r="65" spans="1:15" ht="15">
      <c r="A65" s="235" t="s">
        <v>440</v>
      </c>
      <c r="B65" s="235"/>
      <c r="C65" s="230"/>
      <c r="D65" s="230"/>
      <c r="E65" s="230"/>
      <c r="F65" s="230"/>
      <c r="G65" s="230"/>
      <c r="H65" s="230"/>
      <c r="I65" s="230"/>
      <c r="J65" s="231"/>
      <c r="K65" s="230"/>
      <c r="L65" s="230"/>
      <c r="M65" s="230"/>
      <c r="N65" s="230"/>
      <c r="O65" s="230"/>
    </row>
    <row r="66" spans="1:15" ht="15">
      <c r="A66" s="235" t="s">
        <v>429</v>
      </c>
      <c r="B66" s="235"/>
      <c r="C66" s="230">
        <f aca="true" t="shared" si="31" ref="C66:O66">+C20+C35+C50</f>
        <v>1226002.8191337842</v>
      </c>
      <c r="D66" s="230">
        <f t="shared" si="31"/>
        <v>1222447.5311868223</v>
      </c>
      <c r="E66" s="230">
        <f t="shared" si="31"/>
        <v>1218841.7582398604</v>
      </c>
      <c r="F66" s="230">
        <f t="shared" si="31"/>
        <v>1215235.9852928987</v>
      </c>
      <c r="G66" s="230">
        <f t="shared" si="31"/>
        <v>1211630.2123459366</v>
      </c>
      <c r="H66" s="230">
        <f t="shared" si="31"/>
        <v>1208024.4393989746</v>
      </c>
      <c r="I66" s="230">
        <f t="shared" si="31"/>
        <v>1204418.666452013</v>
      </c>
      <c r="J66" s="230">
        <f t="shared" si="31"/>
        <v>0.000520558581842877</v>
      </c>
      <c r="K66" s="230">
        <f t="shared" si="31"/>
        <v>1200812.893505051</v>
      </c>
      <c r="L66" s="230">
        <f t="shared" si="31"/>
        <v>1197207.1205580893</v>
      </c>
      <c r="M66" s="230">
        <f t="shared" si="31"/>
        <v>1193601.3476111274</v>
      </c>
      <c r="N66" s="230">
        <f t="shared" si="31"/>
        <v>1189995.5746641655</v>
      </c>
      <c r="O66" s="230">
        <f t="shared" si="31"/>
        <v>1186389.8017172038</v>
      </c>
    </row>
    <row r="67" spans="1:15" ht="15">
      <c r="A67" s="235" t="s">
        <v>434</v>
      </c>
      <c r="B67" s="235"/>
      <c r="C67" s="230">
        <f aca="true" t="shared" si="32" ref="C67:O67">+C21+C36+C51</f>
        <v>1226002.8191337842</v>
      </c>
      <c r="D67" s="230">
        <f t="shared" si="32"/>
        <v>1222447.5311868223</v>
      </c>
      <c r="E67" s="230">
        <f t="shared" si="32"/>
        <v>1218841.7582398604</v>
      </c>
      <c r="F67" s="230">
        <f t="shared" si="32"/>
        <v>1215235.9852928987</v>
      </c>
      <c r="G67" s="230">
        <f t="shared" si="32"/>
        <v>1211630.2123459366</v>
      </c>
      <c r="H67" s="230">
        <f t="shared" si="32"/>
        <v>1208024.4393989746</v>
      </c>
      <c r="I67" s="230">
        <f t="shared" si="32"/>
        <v>1204418.666452013</v>
      </c>
      <c r="J67" s="230">
        <f t="shared" si="32"/>
        <v>0.000520558581842877</v>
      </c>
      <c r="K67" s="230">
        <f t="shared" si="32"/>
        <v>1200812.893505051</v>
      </c>
      <c r="L67" s="230">
        <f t="shared" si="32"/>
        <v>1197207.1205580893</v>
      </c>
      <c r="M67" s="230">
        <f t="shared" si="32"/>
        <v>1193601.3476111274</v>
      </c>
      <c r="N67" s="230">
        <f t="shared" si="32"/>
        <v>1189995.5746641655</v>
      </c>
      <c r="O67" s="230">
        <f t="shared" si="32"/>
        <v>1186389.8017172038</v>
      </c>
    </row>
    <row r="68" spans="1:15" ht="15">
      <c r="A68" s="229"/>
      <c r="B68" s="229"/>
      <c r="C68" s="230"/>
      <c r="D68" s="230"/>
      <c r="E68" s="230"/>
      <c r="F68" s="230"/>
      <c r="G68" s="230"/>
      <c r="H68" s="230"/>
      <c r="I68" s="230"/>
      <c r="J68" s="231"/>
      <c r="K68" s="230"/>
      <c r="L68" s="230"/>
      <c r="M68" s="230"/>
      <c r="N68" s="230"/>
      <c r="O68" s="230"/>
    </row>
    <row r="69" spans="1:15" ht="15">
      <c r="A69" s="229"/>
      <c r="B69" s="229"/>
      <c r="C69" s="230"/>
      <c r="D69" s="230"/>
      <c r="E69" s="230"/>
      <c r="F69" s="230"/>
      <c r="G69" s="230"/>
      <c r="H69" s="230"/>
      <c r="I69" s="230"/>
      <c r="J69" s="231"/>
      <c r="K69" s="230"/>
      <c r="L69" s="230"/>
      <c r="M69" s="230"/>
      <c r="N69" s="230"/>
      <c r="O69" s="230"/>
    </row>
    <row r="70" spans="1:15" ht="15">
      <c r="A70" s="229"/>
      <c r="B70" s="229"/>
      <c r="C70" s="230"/>
      <c r="D70" s="230"/>
      <c r="E70" s="230"/>
      <c r="F70" s="230"/>
      <c r="G70" s="230"/>
      <c r="H70" s="230"/>
      <c r="I70" s="230"/>
      <c r="J70" s="231"/>
      <c r="K70" s="230"/>
      <c r="L70" s="230"/>
      <c r="M70" s="230"/>
      <c r="N70" s="230"/>
      <c r="O70" s="230"/>
    </row>
    <row r="71" spans="1:15" ht="15">
      <c r="A71" s="250" t="s">
        <v>477</v>
      </c>
      <c r="B71" s="535"/>
      <c r="C71" s="251">
        <v>0.036</v>
      </c>
      <c r="D71" s="230"/>
      <c r="E71" s="230"/>
      <c r="F71" s="230"/>
      <c r="G71" s="230"/>
      <c r="H71" s="230"/>
      <c r="I71" s="230"/>
      <c r="J71" s="231"/>
      <c r="K71" s="230"/>
      <c r="L71" s="230"/>
      <c r="M71" s="230"/>
      <c r="N71" s="230"/>
      <c r="O71" s="230"/>
    </row>
    <row r="72" spans="1:15" ht="15">
      <c r="A72" s="254" t="s">
        <v>476</v>
      </c>
      <c r="B72" s="505"/>
      <c r="C72" s="255">
        <v>0.017</v>
      </c>
      <c r="D72" s="230"/>
      <c r="E72" s="230"/>
      <c r="F72" s="230"/>
      <c r="G72" s="230"/>
      <c r="H72" s="230"/>
      <c r="I72" s="230"/>
      <c r="J72" s="231"/>
      <c r="K72" s="230"/>
      <c r="L72" s="230"/>
      <c r="M72" s="230"/>
      <c r="N72" s="230"/>
      <c r="O72" s="230"/>
    </row>
    <row r="73" spans="1:15" ht="15">
      <c r="A73" s="252" t="s">
        <v>379</v>
      </c>
      <c r="B73" s="536"/>
      <c r="C73" s="253">
        <v>0.0292</v>
      </c>
      <c r="D73" s="508"/>
      <c r="E73" s="230"/>
      <c r="F73" s="230"/>
      <c r="G73" s="230"/>
      <c r="H73" s="230"/>
      <c r="I73" s="230"/>
      <c r="J73" s="231"/>
      <c r="K73" s="230"/>
      <c r="L73" s="230"/>
      <c r="M73" s="230"/>
      <c r="N73" s="230"/>
      <c r="O73" s="230"/>
    </row>
    <row r="74" spans="1:15" ht="15">
      <c r="A74" s="505" t="s">
        <v>555</v>
      </c>
      <c r="B74" s="505"/>
      <c r="C74" s="506">
        <v>0.0354</v>
      </c>
      <c r="D74" s="230"/>
      <c r="E74" s="230"/>
      <c r="F74" s="230"/>
      <c r="G74" s="230"/>
      <c r="H74" s="230"/>
      <c r="I74" s="230"/>
      <c r="J74" s="231"/>
      <c r="K74" s="230"/>
      <c r="L74" s="230"/>
      <c r="M74" s="230"/>
      <c r="N74" s="230"/>
      <c r="O74" s="230"/>
    </row>
    <row r="75" spans="1:15" ht="15">
      <c r="A75" s="229"/>
      <c r="B75" s="229"/>
      <c r="C75" s="230"/>
      <c r="D75" s="230"/>
      <c r="E75" s="230"/>
      <c r="F75" s="230"/>
      <c r="G75" s="230"/>
      <c r="H75" s="230"/>
      <c r="I75" s="230"/>
      <c r="J75" s="231"/>
      <c r="K75" s="230"/>
      <c r="L75" s="230"/>
      <c r="M75" s="230"/>
      <c r="N75" s="230"/>
      <c r="O75" s="230"/>
    </row>
    <row r="76" spans="1:4" ht="15">
      <c r="A76" s="250" t="s">
        <v>476</v>
      </c>
      <c r="B76" s="535"/>
      <c r="C76" s="251">
        <v>0.8558</v>
      </c>
      <c r="D76" s="508"/>
    </row>
    <row r="77" spans="1:4" ht="15">
      <c r="A77" s="252" t="s">
        <v>379</v>
      </c>
      <c r="B77" s="536"/>
      <c r="C77" s="253">
        <v>0.1442</v>
      </c>
      <c r="D77" s="508"/>
    </row>
    <row r="78" spans="1:3" ht="15">
      <c r="A78" s="252" t="s">
        <v>66</v>
      </c>
      <c r="B78" s="536"/>
      <c r="C78" s="253">
        <f>SUM(C76:C77)</f>
        <v>1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56" r:id="rId2"/>
  <rowBreaks count="1" manualBreakCount="1">
    <brk id="52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61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9.6640625" defaultRowHeight="15"/>
  <cols>
    <col min="1" max="1" width="7.6640625" style="116" customWidth="1"/>
    <col min="2" max="2" width="12.5546875" style="116" customWidth="1"/>
    <col min="3" max="3" width="14.3359375" style="116" customWidth="1"/>
    <col min="4" max="4" width="10.4453125" style="116" customWidth="1"/>
    <col min="5" max="5" width="11.99609375" style="116" bestFit="1" customWidth="1"/>
    <col min="6" max="7" width="14.5546875" style="116" bestFit="1" customWidth="1"/>
    <col min="8" max="8" width="14.4453125" style="116" bestFit="1" customWidth="1"/>
    <col min="9" max="10" width="14.5546875" style="116" bestFit="1" customWidth="1"/>
    <col min="11" max="11" width="14.4453125" style="116" bestFit="1" customWidth="1"/>
    <col min="12" max="12" width="14.5546875" style="116" bestFit="1" customWidth="1"/>
    <col min="13" max="13" width="11.99609375" style="116" customWidth="1"/>
    <col min="14" max="15" width="14.5546875" style="116" bestFit="1" customWidth="1"/>
    <col min="16" max="16" width="12.10546875" style="116" customWidth="1"/>
    <col min="17" max="17" width="14.5546875" style="116" bestFit="1" customWidth="1"/>
    <col min="18" max="18" width="14.99609375" style="116" bestFit="1" customWidth="1"/>
    <col min="19" max="16384" width="9.6640625" style="116" customWidth="1"/>
  </cols>
  <sheetData>
    <row r="1" s="626" customFormat="1" ht="16.5">
      <c r="A1" s="626" t="s">
        <v>575</v>
      </c>
    </row>
    <row r="2" s="626" customFormat="1" ht="16.5">
      <c r="A2" s="626" t="s">
        <v>571</v>
      </c>
    </row>
    <row r="3" s="626" customFormat="1" ht="16.5"/>
    <row r="4" spans="1:18" ht="16.5">
      <c r="A4" s="116" t="s">
        <v>235</v>
      </c>
      <c r="B4" s="117"/>
      <c r="E4" s="117"/>
      <c r="F4" s="117"/>
      <c r="G4" s="117" t="s">
        <v>236</v>
      </c>
      <c r="H4" s="117"/>
      <c r="I4" s="117"/>
      <c r="J4" s="117"/>
      <c r="K4" s="117"/>
      <c r="L4" s="117"/>
      <c r="R4" s="190" t="s">
        <v>19</v>
      </c>
    </row>
    <row r="5" ht="17.25" thickBot="1">
      <c r="A5" s="119" t="str">
        <f>+'A-1'!A5</f>
        <v>2019 Okeechobee Limited Scope Adjustment</v>
      </c>
    </row>
    <row r="6" spans="1:18" ht="16.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1:16" ht="16.5">
      <c r="A7" s="116" t="s">
        <v>2</v>
      </c>
      <c r="G7" s="116" t="s">
        <v>218</v>
      </c>
      <c r="I7" s="117" t="s">
        <v>237</v>
      </c>
      <c r="J7" s="117"/>
      <c r="K7" s="117"/>
      <c r="L7" s="117"/>
      <c r="P7" s="116" t="s">
        <v>5</v>
      </c>
    </row>
    <row r="8" spans="8:12" ht="16.5">
      <c r="H8" s="117"/>
      <c r="I8" s="117" t="s">
        <v>238</v>
      </c>
      <c r="J8" s="117"/>
      <c r="K8" s="117"/>
      <c r="L8" s="117"/>
    </row>
    <row r="9" spans="1:16" ht="16.5">
      <c r="A9" s="61" t="s">
        <v>249</v>
      </c>
      <c r="H9" s="117"/>
      <c r="I9" s="117" t="s">
        <v>239</v>
      </c>
      <c r="J9" s="117"/>
      <c r="K9" s="117"/>
      <c r="L9" s="117"/>
      <c r="P9" s="119" t="s">
        <v>444</v>
      </c>
    </row>
    <row r="10" spans="1:12" ht="16.5">
      <c r="A10" s="61" t="s">
        <v>286</v>
      </c>
      <c r="H10" s="117"/>
      <c r="I10" s="116" t="s">
        <v>240</v>
      </c>
      <c r="J10" s="117"/>
      <c r="K10" s="117"/>
      <c r="L10" s="117"/>
    </row>
    <row r="11" spans="4:16" ht="16.5">
      <c r="D11" s="609"/>
      <c r="E11" s="609"/>
      <c r="F11" s="609"/>
      <c r="G11" s="609"/>
      <c r="H11" s="117"/>
      <c r="I11" s="121" t="s">
        <v>488</v>
      </c>
      <c r="J11" s="117"/>
      <c r="K11" s="117"/>
      <c r="L11" s="117"/>
      <c r="P11" s="116" t="s">
        <v>221</v>
      </c>
    </row>
    <row r="12" spans="1:12" ht="16.5">
      <c r="A12" s="116" t="str">
        <f>+'A-1'!A12</f>
        <v>DOCKET NO.: 160021-EI</v>
      </c>
      <c r="E12" s="117"/>
      <c r="F12" s="117"/>
      <c r="G12" s="117"/>
      <c r="H12" s="117"/>
      <c r="J12" s="117"/>
      <c r="K12" s="122" t="s">
        <v>63</v>
      </c>
      <c r="L12" s="117"/>
    </row>
    <row r="13" ht="17.25" thickBot="1"/>
    <row r="14" spans="1:18" ht="16.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7" ht="16.5">
      <c r="A15" s="117"/>
      <c r="B15" s="122" t="s">
        <v>134</v>
      </c>
      <c r="C15" s="122" t="s">
        <v>134</v>
      </c>
      <c r="E15" s="123" t="s">
        <v>223</v>
      </c>
      <c r="F15" s="123" t="s">
        <v>224</v>
      </c>
      <c r="G15" s="123" t="s">
        <v>224</v>
      </c>
      <c r="H15" s="123" t="s">
        <v>224</v>
      </c>
      <c r="I15" s="123" t="s">
        <v>224</v>
      </c>
      <c r="J15" s="123" t="s">
        <v>224</v>
      </c>
      <c r="K15" s="123" t="s">
        <v>224</v>
      </c>
      <c r="L15" s="123" t="s">
        <v>224</v>
      </c>
      <c r="M15" s="123" t="s">
        <v>224</v>
      </c>
      <c r="N15" s="123" t="s">
        <v>224</v>
      </c>
      <c r="O15" s="123" t="s">
        <v>224</v>
      </c>
      <c r="P15" s="123" t="s">
        <v>224</v>
      </c>
      <c r="Q15" s="123" t="s">
        <v>224</v>
      </c>
    </row>
    <row r="16" spans="1:18" ht="16.5">
      <c r="A16" s="122" t="s">
        <v>6</v>
      </c>
      <c r="B16" s="122" t="s">
        <v>225</v>
      </c>
      <c r="C16" s="122" t="s">
        <v>225</v>
      </c>
      <c r="E16" s="123" t="s">
        <v>226</v>
      </c>
      <c r="F16" s="123" t="s">
        <v>226</v>
      </c>
      <c r="G16" s="123" t="s">
        <v>226</v>
      </c>
      <c r="H16" s="123" t="s">
        <v>226</v>
      </c>
      <c r="I16" s="123" t="s">
        <v>226</v>
      </c>
      <c r="J16" s="123" t="s">
        <v>226</v>
      </c>
      <c r="K16" s="123" t="s">
        <v>226</v>
      </c>
      <c r="L16" s="123" t="s">
        <v>226</v>
      </c>
      <c r="M16" s="123" t="s">
        <v>226</v>
      </c>
      <c r="N16" s="123" t="s">
        <v>226</v>
      </c>
      <c r="O16" s="123" t="s">
        <v>226</v>
      </c>
      <c r="P16" s="123" t="s">
        <v>226</v>
      </c>
      <c r="Q16" s="123" t="s">
        <v>226</v>
      </c>
      <c r="R16" s="123" t="s">
        <v>227</v>
      </c>
    </row>
    <row r="17" spans="1:18" ht="16.5">
      <c r="A17" s="122" t="s">
        <v>48</v>
      </c>
      <c r="B17" s="122" t="s">
        <v>228</v>
      </c>
      <c r="C17" s="122" t="s">
        <v>137</v>
      </c>
      <c r="E17" s="189">
        <v>43617</v>
      </c>
      <c r="F17" s="189">
        <v>43617</v>
      </c>
      <c r="G17" s="189">
        <v>43647</v>
      </c>
      <c r="H17" s="189">
        <v>43678</v>
      </c>
      <c r="I17" s="189">
        <v>43709</v>
      </c>
      <c r="J17" s="189">
        <v>43739</v>
      </c>
      <c r="K17" s="189">
        <v>43770</v>
      </c>
      <c r="L17" s="189">
        <v>43800</v>
      </c>
      <c r="M17" s="189">
        <v>43831</v>
      </c>
      <c r="N17" s="189">
        <v>43862</v>
      </c>
      <c r="O17" s="189">
        <v>43891</v>
      </c>
      <c r="P17" s="189">
        <v>43922</v>
      </c>
      <c r="Q17" s="189">
        <v>43952</v>
      </c>
      <c r="R17" s="123" t="s">
        <v>229</v>
      </c>
    </row>
    <row r="18" spans="2:16" ht="17.25" thickBot="1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</row>
    <row r="19" spans="1:18" ht="16.5">
      <c r="A19" s="356">
        <v>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0"/>
      <c r="R19" s="120"/>
    </row>
    <row r="20" spans="1:16" ht="16.5">
      <c r="A20" s="307">
        <f aca="true" t="shared" si="0" ref="A20:A48">IF(A19&lt;0,1,A19+1)</f>
        <v>2</v>
      </c>
      <c r="B20" s="188" t="s">
        <v>375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ht="16.5">
      <c r="A21" s="307">
        <f t="shared" si="0"/>
        <v>3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</row>
    <row r="22" spans="1:16" ht="16.5">
      <c r="A22" s="307">
        <f t="shared" si="0"/>
        <v>4</v>
      </c>
      <c r="B22" s="117" t="s">
        <v>376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1:18" ht="16.5">
      <c r="A23" s="307">
        <f t="shared" si="0"/>
        <v>5</v>
      </c>
      <c r="B23" s="117" t="s">
        <v>502</v>
      </c>
      <c r="C23" s="117"/>
      <c r="D23" s="117"/>
      <c r="E23" s="357">
        <f>+'PIS and Depr Calc'!B8</f>
        <v>1126401.5987885667</v>
      </c>
      <c r="F23" s="357">
        <f>+'PIS and Depr Calc'!C8</f>
        <v>1147172.8851556145</v>
      </c>
      <c r="G23" s="357">
        <f>+'PIS and Depr Calc'!D8</f>
        <v>1147172.8851556145</v>
      </c>
      <c r="H23" s="357">
        <f>+'PIS and Depr Calc'!E8</f>
        <v>1147172.8851556145</v>
      </c>
      <c r="I23" s="357">
        <f>+'PIS and Depr Calc'!F8</f>
        <v>1147172.8851556145</v>
      </c>
      <c r="J23" s="357">
        <f>+'PIS and Depr Calc'!G8</f>
        <v>1147172.8851556145</v>
      </c>
      <c r="K23" s="357">
        <f>+'PIS and Depr Calc'!H8</f>
        <v>1147172.8851556145</v>
      </c>
      <c r="L23" s="357">
        <f>+'PIS and Depr Calc'!I8</f>
        <v>1147172.8851556145</v>
      </c>
      <c r="M23" s="357">
        <f>+'PIS and Depr Calc'!K8</f>
        <v>1147172.8851556145</v>
      </c>
      <c r="N23" s="357">
        <f>+'PIS and Depr Calc'!L8</f>
        <v>1147172.8851556145</v>
      </c>
      <c r="O23" s="357">
        <f>+'PIS and Depr Calc'!M8</f>
        <v>1147172.8851556145</v>
      </c>
      <c r="P23" s="357">
        <f>+'PIS and Depr Calc'!N8</f>
        <v>1147172.8851556145</v>
      </c>
      <c r="Q23" s="357">
        <f>+'PIS and Depr Calc'!O8</f>
        <v>1147172.8851556145</v>
      </c>
      <c r="R23" s="300"/>
    </row>
    <row r="24" spans="1:18" ht="16.5">
      <c r="A24" s="307">
        <f t="shared" si="0"/>
        <v>6</v>
      </c>
      <c r="B24" s="117" t="s">
        <v>230</v>
      </c>
      <c r="C24" s="117"/>
      <c r="D24" s="117"/>
      <c r="E24" s="301">
        <f>SUM(E23)</f>
        <v>1126401.5987885667</v>
      </c>
      <c r="F24" s="301">
        <f>SUM(F23)</f>
        <v>1147172.8851556145</v>
      </c>
      <c r="G24" s="301">
        <f aca="true" t="shared" si="1" ref="G24:Q24">SUM(G23)</f>
        <v>1147172.8851556145</v>
      </c>
      <c r="H24" s="301">
        <f t="shared" si="1"/>
        <v>1147172.8851556145</v>
      </c>
      <c r="I24" s="301">
        <f t="shared" si="1"/>
        <v>1147172.8851556145</v>
      </c>
      <c r="J24" s="301">
        <f t="shared" si="1"/>
        <v>1147172.8851556145</v>
      </c>
      <c r="K24" s="301">
        <f t="shared" si="1"/>
        <v>1147172.8851556145</v>
      </c>
      <c r="L24" s="301">
        <f t="shared" si="1"/>
        <v>1147172.8851556145</v>
      </c>
      <c r="M24" s="301">
        <f t="shared" si="1"/>
        <v>1147172.8851556145</v>
      </c>
      <c r="N24" s="301">
        <f t="shared" si="1"/>
        <v>1147172.8851556145</v>
      </c>
      <c r="O24" s="301">
        <f t="shared" si="1"/>
        <v>1147172.8851556145</v>
      </c>
      <c r="P24" s="301">
        <f t="shared" si="1"/>
        <v>1147172.8851556145</v>
      </c>
      <c r="Q24" s="301">
        <f t="shared" si="1"/>
        <v>1147172.8851556145</v>
      </c>
      <c r="R24" s="543">
        <f>SUM(E24:Q24)/13</f>
        <v>1145575.093896611</v>
      </c>
    </row>
    <row r="25" spans="1:18" ht="16.5">
      <c r="A25" s="307">
        <f t="shared" si="0"/>
        <v>7</v>
      </c>
      <c r="B25" s="117"/>
      <c r="C25" s="117"/>
      <c r="D25" s="11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192"/>
    </row>
    <row r="26" spans="1:18" ht="16.5">
      <c r="A26" s="307">
        <f t="shared" si="0"/>
        <v>8</v>
      </c>
      <c r="B26" s="540" t="s">
        <v>130</v>
      </c>
      <c r="C26" s="117"/>
      <c r="D26" s="11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8"/>
      <c r="R26" s="192"/>
    </row>
    <row r="27" spans="1:18" ht="16.5">
      <c r="A27" s="307">
        <f t="shared" si="0"/>
        <v>9</v>
      </c>
      <c r="B27" s="117" t="s">
        <v>502</v>
      </c>
      <c r="C27" s="117"/>
      <c r="D27" s="117"/>
      <c r="E27" s="357">
        <f>+'PIS and Depr Calc'!B25</f>
        <v>56899.842443496236</v>
      </c>
      <c r="F27" s="357">
        <f>+'PIS and Depr Calc'!C27</f>
        <v>56975.57044349623</v>
      </c>
      <c r="G27" s="357">
        <f>+'PIS and Depr Calc'!D27</f>
        <v>57026.05544349623</v>
      </c>
      <c r="H27" s="357">
        <f>+'PIS and Depr Calc'!E27</f>
        <v>57026.05544349623</v>
      </c>
      <c r="I27" s="357">
        <f>+'PIS and Depr Calc'!F27</f>
        <v>57026.05544349623</v>
      </c>
      <c r="J27" s="357">
        <f>+'PIS and Depr Calc'!G27</f>
        <v>57026.05544349623</v>
      </c>
      <c r="K27" s="357">
        <f>+'PIS and Depr Calc'!H27</f>
        <v>57026.05544349623</v>
      </c>
      <c r="L27" s="357">
        <f>+'PIS and Depr Calc'!I27</f>
        <v>57026.05544349623</v>
      </c>
      <c r="M27" s="357">
        <f>+'PIS and Depr Calc'!K27</f>
        <v>57026.05544349623</v>
      </c>
      <c r="N27" s="357">
        <f>+'PIS and Depr Calc'!L27</f>
        <v>57026.05544349623</v>
      </c>
      <c r="O27" s="357">
        <f>+'PIS and Depr Calc'!M27</f>
        <v>57026.05544349623</v>
      </c>
      <c r="P27" s="357">
        <f>+'PIS and Depr Calc'!N27</f>
        <v>57026.05544349623</v>
      </c>
      <c r="Q27" s="357">
        <f>+'PIS and Depr Calc'!O27</f>
        <v>57026.05544349623</v>
      </c>
      <c r="R27" s="303">
        <f>SUM(E27:Q27)/13</f>
        <v>57012.46328965007</v>
      </c>
    </row>
    <row r="28" spans="1:18" ht="16.5">
      <c r="A28" s="307">
        <f t="shared" si="0"/>
        <v>10</v>
      </c>
      <c r="B28" s="117" t="s">
        <v>562</v>
      </c>
      <c r="C28" s="117"/>
      <c r="D28" s="117"/>
      <c r="E28" s="357">
        <f>+'PIS and Depr Calc'!C39</f>
        <v>25460.057559949302</v>
      </c>
      <c r="F28" s="357">
        <f>+'PIS and Depr Calc'!D39</f>
        <v>25460.057559949302</v>
      </c>
      <c r="G28" s="357">
        <f>+'PIS and Depr Calc'!E39</f>
        <v>25460.057559949302</v>
      </c>
      <c r="H28" s="357">
        <f>+'PIS and Depr Calc'!F39</f>
        <v>25460.057559949302</v>
      </c>
      <c r="I28" s="357">
        <f>+'PIS and Depr Calc'!G39</f>
        <v>25460.057559949302</v>
      </c>
      <c r="J28" s="357">
        <f>+'PIS and Depr Calc'!H39</f>
        <v>25460.057559949302</v>
      </c>
      <c r="K28" s="357">
        <f>+'PIS and Depr Calc'!I39</f>
        <v>25460.057559949302</v>
      </c>
      <c r="L28" s="357">
        <f>+'PIS and Depr Calc'!J39</f>
        <v>25460.057559949302</v>
      </c>
      <c r="M28" s="357">
        <f>+'PIS and Depr Calc'!K39</f>
        <v>25460.057559949302</v>
      </c>
      <c r="N28" s="357">
        <f>+'PIS and Depr Calc'!L39</f>
        <v>25460.057559949302</v>
      </c>
      <c r="O28" s="357">
        <f>+'PIS and Depr Calc'!M39</f>
        <v>25460.057559949302</v>
      </c>
      <c r="P28" s="357">
        <f>+'PIS and Depr Calc'!N39</f>
        <v>25460.057559949302</v>
      </c>
      <c r="Q28" s="357">
        <f>+'PIS and Depr Calc'!O39</f>
        <v>25460.057559949302</v>
      </c>
      <c r="R28" s="303">
        <f>SUM(E28:Q28)/13</f>
        <v>25460.057559949295</v>
      </c>
    </row>
    <row r="29" spans="1:18" ht="16.5">
      <c r="A29" s="307">
        <f t="shared" si="0"/>
        <v>11</v>
      </c>
      <c r="B29" s="117" t="s">
        <v>377</v>
      </c>
      <c r="C29" s="117"/>
      <c r="D29" s="117"/>
      <c r="E29" s="304">
        <f>SUM(E27:E28)</f>
        <v>82359.90000344554</v>
      </c>
      <c r="F29" s="304">
        <f aca="true" t="shared" si="2" ref="F29:Q29">SUM(F27:F28)</f>
        <v>82435.62800344554</v>
      </c>
      <c r="G29" s="304">
        <f t="shared" si="2"/>
        <v>82486.11300344553</v>
      </c>
      <c r="H29" s="304">
        <f t="shared" si="2"/>
        <v>82486.11300344553</v>
      </c>
      <c r="I29" s="304">
        <f t="shared" si="2"/>
        <v>82486.11300344553</v>
      </c>
      <c r="J29" s="304">
        <f t="shared" si="2"/>
        <v>82486.11300344553</v>
      </c>
      <c r="K29" s="304">
        <f t="shared" si="2"/>
        <v>82486.11300344553</v>
      </c>
      <c r="L29" s="304">
        <f t="shared" si="2"/>
        <v>82486.11300344553</v>
      </c>
      <c r="M29" s="304">
        <f t="shared" si="2"/>
        <v>82486.11300344553</v>
      </c>
      <c r="N29" s="304">
        <f t="shared" si="2"/>
        <v>82486.11300344553</v>
      </c>
      <c r="O29" s="304">
        <f t="shared" si="2"/>
        <v>82486.11300344553</v>
      </c>
      <c r="P29" s="304">
        <f t="shared" si="2"/>
        <v>82486.11300344553</v>
      </c>
      <c r="Q29" s="304">
        <f t="shared" si="2"/>
        <v>82486.11300344553</v>
      </c>
      <c r="R29" s="302">
        <f>SUM(E29:Q29)/13</f>
        <v>82472.5208495994</v>
      </c>
    </row>
    <row r="30" spans="1:18" ht="16.5">
      <c r="A30" s="307">
        <f t="shared" si="0"/>
        <v>12</v>
      </c>
      <c r="B30" s="117"/>
      <c r="C30" s="117"/>
      <c r="D30" s="117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2"/>
      <c r="R30" s="192"/>
    </row>
    <row r="31" spans="1:18" ht="16.5">
      <c r="A31" s="307">
        <f t="shared" si="0"/>
        <v>13</v>
      </c>
      <c r="B31" s="117"/>
      <c r="C31" s="117"/>
      <c r="D31" s="117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2"/>
      <c r="R31" s="192"/>
    </row>
    <row r="32" spans="1:18" ht="16.5">
      <c r="A32" s="307">
        <f t="shared" si="0"/>
        <v>14</v>
      </c>
      <c r="B32" s="117" t="s">
        <v>241</v>
      </c>
      <c r="C32" s="117"/>
      <c r="D32" s="117"/>
      <c r="E32" s="305">
        <f>+E24+E29</f>
        <v>1208761.4987920122</v>
      </c>
      <c r="F32" s="305">
        <f>+F24+F29</f>
        <v>1229608.51315906</v>
      </c>
      <c r="G32" s="305">
        <f aca="true" t="shared" si="3" ref="G32:R32">+G24+G29</f>
        <v>1229658.99815906</v>
      </c>
      <c r="H32" s="305">
        <f t="shared" si="3"/>
        <v>1229658.99815906</v>
      </c>
      <c r="I32" s="305">
        <f t="shared" si="3"/>
        <v>1229658.99815906</v>
      </c>
      <c r="J32" s="305">
        <f t="shared" si="3"/>
        <v>1229658.99815906</v>
      </c>
      <c r="K32" s="305">
        <f t="shared" si="3"/>
        <v>1229658.99815906</v>
      </c>
      <c r="L32" s="305">
        <f t="shared" si="3"/>
        <v>1229658.99815906</v>
      </c>
      <c r="M32" s="305">
        <f t="shared" si="3"/>
        <v>1229658.99815906</v>
      </c>
      <c r="N32" s="305">
        <f t="shared" si="3"/>
        <v>1229658.99815906</v>
      </c>
      <c r="O32" s="305">
        <f t="shared" si="3"/>
        <v>1229658.99815906</v>
      </c>
      <c r="P32" s="305">
        <f t="shared" si="3"/>
        <v>1229658.99815906</v>
      </c>
      <c r="Q32" s="305">
        <f t="shared" si="3"/>
        <v>1229658.99815906</v>
      </c>
      <c r="R32" s="305">
        <f t="shared" si="3"/>
        <v>1228047.6147462104</v>
      </c>
    </row>
    <row r="33" spans="1:18" ht="16.5">
      <c r="A33" s="307">
        <f t="shared" si="0"/>
        <v>15</v>
      </c>
      <c r="B33" s="117"/>
      <c r="C33" s="117"/>
      <c r="D33" s="117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192"/>
    </row>
    <row r="34" spans="1:18" ht="16.5">
      <c r="A34" s="307">
        <f t="shared" si="0"/>
        <v>16</v>
      </c>
      <c r="B34" s="117" t="s">
        <v>242</v>
      </c>
      <c r="C34" s="117"/>
      <c r="D34" s="117"/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</row>
    <row r="35" spans="1:18" ht="16.5">
      <c r="A35" s="307">
        <f t="shared" si="0"/>
        <v>17</v>
      </c>
      <c r="B35" s="117"/>
      <c r="C35" s="117"/>
      <c r="D35" s="117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</row>
    <row r="36" spans="1:18" ht="16.5">
      <c r="A36" s="307">
        <f t="shared" si="0"/>
        <v>18</v>
      </c>
      <c r="B36" s="117" t="s">
        <v>232</v>
      </c>
      <c r="C36" s="117"/>
      <c r="D36" s="117"/>
      <c r="E36" s="306">
        <v>0</v>
      </c>
      <c r="F36" s="306">
        <v>0</v>
      </c>
      <c r="G36" s="306">
        <v>0</v>
      </c>
      <c r="H36" s="306">
        <v>0</v>
      </c>
      <c r="I36" s="306">
        <v>0</v>
      </c>
      <c r="J36" s="306">
        <v>0</v>
      </c>
      <c r="K36" s="306">
        <v>0</v>
      </c>
      <c r="L36" s="306">
        <v>0</v>
      </c>
      <c r="M36" s="306">
        <v>0</v>
      </c>
      <c r="N36" s="306">
        <v>0</v>
      </c>
      <c r="O36" s="306">
        <v>0</v>
      </c>
      <c r="P36" s="306">
        <v>0</v>
      </c>
      <c r="Q36" s="306">
        <v>0</v>
      </c>
      <c r="R36" s="306">
        <v>0</v>
      </c>
    </row>
    <row r="37" spans="1:18" ht="16.5">
      <c r="A37" s="307">
        <f t="shared" si="0"/>
        <v>19</v>
      </c>
      <c r="B37" s="117"/>
      <c r="C37" s="117"/>
      <c r="D37" s="117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2"/>
      <c r="R37" s="192"/>
    </row>
    <row r="38" spans="1:18" ht="16.5">
      <c r="A38" s="307">
        <f t="shared" si="0"/>
        <v>20</v>
      </c>
      <c r="B38" s="117" t="s">
        <v>243</v>
      </c>
      <c r="C38" s="117"/>
      <c r="D38" s="117"/>
      <c r="E38" s="304">
        <f>+E32+E34+E36</f>
        <v>1208761.4987920122</v>
      </c>
      <c r="F38" s="304">
        <f>+F32+F34+F36</f>
        <v>1229608.51315906</v>
      </c>
      <c r="G38" s="304">
        <f aca="true" t="shared" si="4" ref="G38:R38">+G32+G34+G36</f>
        <v>1229658.99815906</v>
      </c>
      <c r="H38" s="304">
        <f t="shared" si="4"/>
        <v>1229658.99815906</v>
      </c>
      <c r="I38" s="304">
        <f t="shared" si="4"/>
        <v>1229658.99815906</v>
      </c>
      <c r="J38" s="304">
        <f t="shared" si="4"/>
        <v>1229658.99815906</v>
      </c>
      <c r="K38" s="304">
        <f t="shared" si="4"/>
        <v>1229658.99815906</v>
      </c>
      <c r="L38" s="304">
        <f t="shared" si="4"/>
        <v>1229658.99815906</v>
      </c>
      <c r="M38" s="304">
        <f t="shared" si="4"/>
        <v>1229658.99815906</v>
      </c>
      <c r="N38" s="304">
        <f t="shared" si="4"/>
        <v>1229658.99815906</v>
      </c>
      <c r="O38" s="304">
        <f t="shared" si="4"/>
        <v>1229658.99815906</v>
      </c>
      <c r="P38" s="304">
        <f t="shared" si="4"/>
        <v>1229658.99815906</v>
      </c>
      <c r="Q38" s="304">
        <f t="shared" si="4"/>
        <v>1229658.99815906</v>
      </c>
      <c r="R38" s="304">
        <f t="shared" si="4"/>
        <v>1228047.6147462104</v>
      </c>
    </row>
    <row r="39" spans="1:16" ht="16.5">
      <c r="A39" s="307">
        <f t="shared" si="0"/>
        <v>21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</row>
    <row r="40" spans="1:16" ht="16.5">
      <c r="A40" s="307">
        <f t="shared" si="0"/>
        <v>22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</row>
    <row r="41" spans="1:16" ht="16.5">
      <c r="A41" s="307">
        <f t="shared" si="0"/>
        <v>23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1:16" ht="16.5">
      <c r="A42" s="307">
        <f t="shared" si="0"/>
        <v>24</v>
      </c>
      <c r="B42" s="116" t="s">
        <v>445</v>
      </c>
      <c r="C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</row>
    <row r="43" spans="1:16" ht="16.5">
      <c r="A43" s="307">
        <f t="shared" si="0"/>
        <v>25</v>
      </c>
      <c r="B43" s="117" t="s">
        <v>267</v>
      </c>
      <c r="C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1:16" ht="16.5">
      <c r="A44" s="307">
        <f t="shared" si="0"/>
        <v>26</v>
      </c>
      <c r="C44" s="117"/>
      <c r="E44" s="117"/>
      <c r="F44" s="117"/>
      <c r="G44" s="117"/>
      <c r="H44" s="117"/>
      <c r="I44" s="117"/>
      <c r="N44" s="117"/>
      <c r="O44" s="117"/>
      <c r="P44" s="117"/>
    </row>
    <row r="45" spans="1:16" ht="16.5">
      <c r="A45" s="307">
        <f t="shared" si="0"/>
        <v>27</v>
      </c>
      <c r="C45" s="117"/>
      <c r="E45" s="117"/>
      <c r="F45" s="117"/>
      <c r="G45" s="117"/>
      <c r="H45" s="117"/>
      <c r="I45" s="117"/>
      <c r="N45" s="117"/>
      <c r="O45" s="117"/>
      <c r="P45" s="117"/>
    </row>
    <row r="46" spans="1:16" ht="16.5">
      <c r="A46" s="307">
        <f t="shared" si="0"/>
        <v>28</v>
      </c>
      <c r="C46" s="117"/>
      <c r="E46" s="117"/>
      <c r="F46" s="117"/>
      <c r="G46" s="117"/>
      <c r="H46" s="117"/>
      <c r="I46" s="117"/>
      <c r="N46" s="117"/>
      <c r="O46" s="117"/>
      <c r="P46" s="117"/>
    </row>
    <row r="47" spans="1:16" ht="16.5">
      <c r="A47" s="307">
        <f t="shared" si="0"/>
        <v>29</v>
      </c>
      <c r="C47" s="117"/>
      <c r="E47" s="117"/>
      <c r="F47" s="117"/>
      <c r="G47" s="117"/>
      <c r="H47" s="117"/>
      <c r="I47" s="117"/>
      <c r="N47" s="117"/>
      <c r="O47" s="117"/>
      <c r="P47" s="117"/>
    </row>
    <row r="48" spans="1:16" ht="16.5">
      <c r="A48" s="307">
        <f t="shared" si="0"/>
        <v>30</v>
      </c>
      <c r="C48" s="117"/>
      <c r="E48" s="117"/>
      <c r="F48" s="117"/>
      <c r="G48" s="117"/>
      <c r="H48" s="117"/>
      <c r="I48" s="117"/>
      <c r="N48" s="117"/>
      <c r="O48" s="117"/>
      <c r="P48" s="117"/>
    </row>
    <row r="49" spans="2:16" ht="16.5">
      <c r="B49" s="117"/>
      <c r="C49" s="117"/>
      <c r="E49" s="117"/>
      <c r="F49" s="117"/>
      <c r="G49" s="117"/>
      <c r="H49" s="117"/>
      <c r="I49" s="117"/>
      <c r="N49" s="117"/>
      <c r="O49" s="117"/>
      <c r="P49" s="117"/>
    </row>
    <row r="50" spans="2:16" ht="16.5">
      <c r="B50" s="117"/>
      <c r="C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</row>
    <row r="51" ht="17.25" thickBot="1"/>
    <row r="52" spans="1:18" ht="409.5">
      <c r="A52" s="120" t="s">
        <v>13</v>
      </c>
      <c r="B52" s="120"/>
      <c r="C52" s="120"/>
      <c r="D52" s="124"/>
      <c r="E52" s="124"/>
      <c r="F52" s="124"/>
      <c r="G52" s="124"/>
      <c r="H52" s="124"/>
      <c r="I52" s="124"/>
      <c r="J52" s="124"/>
      <c r="K52" s="124"/>
      <c r="L52" s="124"/>
      <c r="M52" s="120" t="s">
        <v>387</v>
      </c>
      <c r="N52" s="120"/>
      <c r="O52" s="124"/>
      <c r="P52" s="124"/>
      <c r="Q52" s="120"/>
      <c r="R52" s="120"/>
    </row>
    <row r="54" spans="1:18" ht="16.5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</row>
    <row r="56" spans="10:13" ht="16.5">
      <c r="J56" s="213" t="s">
        <v>391</v>
      </c>
      <c r="K56" s="213"/>
      <c r="L56" s="214">
        <f>L38</f>
        <v>1229658.99815906</v>
      </c>
      <c r="M56" s="117" t="s">
        <v>234</v>
      </c>
    </row>
    <row r="57" spans="10:13" ht="16.5">
      <c r="J57" s="213" t="s">
        <v>392</v>
      </c>
      <c r="K57" s="213"/>
      <c r="L57" s="214">
        <f>-'B-10 '!L39</f>
        <v>-25240.331707046986</v>
      </c>
      <c r="M57" s="117" t="s">
        <v>244</v>
      </c>
    </row>
    <row r="58" spans="10:13" ht="16.5">
      <c r="J58" s="213" t="s">
        <v>393</v>
      </c>
      <c r="K58" s="213"/>
      <c r="L58" s="214">
        <f>SUM(L56:L57)</f>
        <v>1204418.666452013</v>
      </c>
      <c r="M58" s="117"/>
    </row>
    <row r="59" spans="10:13" ht="409.5">
      <c r="J59" s="213" t="s">
        <v>394</v>
      </c>
      <c r="K59" s="213"/>
      <c r="L59" s="213">
        <v>0.0188</v>
      </c>
      <c r="M59" s="122"/>
    </row>
    <row r="60" spans="10:13" ht="409.5">
      <c r="J60" s="213" t="s">
        <v>390</v>
      </c>
      <c r="K60" s="213"/>
      <c r="L60" s="215">
        <f>L58*L59</f>
        <v>22643.070929297843</v>
      </c>
      <c r="M60" s="117" t="s">
        <v>395</v>
      </c>
    </row>
    <row r="61" spans="10:13" ht="16.5">
      <c r="J61" s="117"/>
      <c r="K61" s="117"/>
      <c r="L61" s="117"/>
      <c r="M61" s="117"/>
    </row>
  </sheetData>
  <sheetProtection/>
  <mergeCells count="1">
    <mergeCell ref="D11:G11"/>
  </mergeCells>
  <printOptions horizontalCentered="1"/>
  <pageMargins left="0.5" right="0.5" top="0.75" bottom="0.25" header="0" footer="0"/>
  <pageSetup horizontalDpi="600" verticalDpi="600" orientation="landscape" scale="44" r:id="rId1"/>
  <ignoredErrors>
    <ignoredError sqref="E25:R26 E30:R31 F27:Q27 F33:R37 R29 E24:Q24 E29 F29:Q29 F32:R32 F38:R38 E33:E37 E32 E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55"/>
  <sheetViews>
    <sheetView showGridLines="0" showOutlineSymbols="0" zoomScale="75" zoomScaleNormal="75" zoomScalePageLayoutView="0" workbookViewId="0" topLeftCell="A1">
      <selection activeCell="A2" sqref="A2"/>
    </sheetView>
  </sheetViews>
  <sheetFormatPr defaultColWidth="9.6640625" defaultRowHeight="15"/>
  <cols>
    <col min="1" max="1" width="7.6640625" style="125" customWidth="1"/>
    <col min="2" max="2" width="11.6640625" style="125" customWidth="1"/>
    <col min="3" max="3" width="14.6640625" style="125" customWidth="1"/>
    <col min="4" max="4" width="14.5546875" style="125" customWidth="1"/>
    <col min="5" max="5" width="9.5546875" style="125" bestFit="1" customWidth="1"/>
    <col min="6" max="6" width="11.6640625" style="125" bestFit="1" customWidth="1"/>
    <col min="7" max="17" width="9.6640625" style="125" customWidth="1"/>
    <col min="18" max="18" width="12.88671875" style="125" customWidth="1"/>
    <col min="19" max="16384" width="9.6640625" style="125" customWidth="1"/>
  </cols>
  <sheetData>
    <row r="1" s="625" customFormat="1" ht="15">
      <c r="A1" s="625" t="s">
        <v>576</v>
      </c>
    </row>
    <row r="2" s="625" customFormat="1" ht="15">
      <c r="A2" s="625" t="s">
        <v>571</v>
      </c>
    </row>
    <row r="3" s="625" customFormat="1" ht="15"/>
    <row r="4" spans="1:18" ht="15">
      <c r="A4" s="125" t="s">
        <v>216</v>
      </c>
      <c r="B4" s="347"/>
      <c r="E4" s="347"/>
      <c r="F4" s="347"/>
      <c r="G4" s="347" t="s">
        <v>217</v>
      </c>
      <c r="H4" s="347"/>
      <c r="I4" s="347"/>
      <c r="J4" s="347"/>
      <c r="K4" s="347"/>
      <c r="L4" s="347"/>
      <c r="R4" s="348" t="s">
        <v>19</v>
      </c>
    </row>
    <row r="5" ht="15" thickBot="1">
      <c r="A5" s="334" t="str">
        <f>+'A-1'!A5</f>
        <v>2019 Okeechobee Limited Scope Adjustment</v>
      </c>
    </row>
    <row r="6" spans="1:18" ht="15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</row>
    <row r="7" spans="1:16" ht="15">
      <c r="A7" s="125" t="s">
        <v>2</v>
      </c>
      <c r="G7" s="125" t="s">
        <v>218</v>
      </c>
      <c r="I7" s="347" t="s">
        <v>219</v>
      </c>
      <c r="J7" s="347"/>
      <c r="K7" s="347"/>
      <c r="L7" s="347"/>
      <c r="P7" s="125" t="s">
        <v>5</v>
      </c>
    </row>
    <row r="8" spans="8:12" ht="15">
      <c r="H8" s="347"/>
      <c r="I8" s="347" t="s">
        <v>220</v>
      </c>
      <c r="J8" s="347"/>
      <c r="K8" s="347"/>
      <c r="L8" s="347"/>
    </row>
    <row r="9" spans="1:16" ht="15">
      <c r="A9" s="311" t="s">
        <v>249</v>
      </c>
      <c r="B9" s="118"/>
      <c r="C9" s="118"/>
      <c r="H9" s="347"/>
      <c r="I9" s="350" t="s">
        <v>498</v>
      </c>
      <c r="J9" s="347"/>
      <c r="K9" s="347"/>
      <c r="L9" s="347"/>
      <c r="P9" s="351" t="s">
        <v>514</v>
      </c>
    </row>
    <row r="10" spans="1:12" ht="15">
      <c r="A10" s="311" t="s">
        <v>286</v>
      </c>
      <c r="B10" s="118"/>
      <c r="C10" s="118"/>
      <c r="G10" s="347"/>
      <c r="H10" s="347"/>
      <c r="I10" s="347"/>
      <c r="J10" s="347"/>
      <c r="K10" s="347" t="s">
        <v>222</v>
      </c>
      <c r="L10" s="347"/>
    </row>
    <row r="11" spans="1:16" ht="15">
      <c r="A11" s="118"/>
      <c r="B11" s="118"/>
      <c r="C11" s="118"/>
      <c r="D11" s="610"/>
      <c r="E11" s="610"/>
      <c r="F11" s="610"/>
      <c r="G11" s="610"/>
      <c r="H11" s="347"/>
      <c r="I11" s="347"/>
      <c r="J11" s="347"/>
      <c r="K11" s="347"/>
      <c r="L11" s="347"/>
      <c r="P11" s="118" t="s">
        <v>221</v>
      </c>
    </row>
    <row r="12" spans="1:12" ht="15">
      <c r="A12" s="118" t="str">
        <f>+'A-1'!A12</f>
        <v>DOCKET NO.: 160021-EI</v>
      </c>
      <c r="B12" s="118"/>
      <c r="C12" s="118"/>
      <c r="E12" s="347"/>
      <c r="F12" s="347"/>
      <c r="G12" s="347"/>
      <c r="H12" s="347"/>
      <c r="I12" s="347"/>
      <c r="J12" s="347"/>
      <c r="K12" s="347"/>
      <c r="L12" s="347"/>
    </row>
    <row r="13" spans="5:12" ht="15" thickBot="1">
      <c r="E13" s="347"/>
      <c r="F13" s="347"/>
      <c r="G13" s="347"/>
      <c r="H13" s="347"/>
      <c r="J13" s="347"/>
      <c r="K13" s="347"/>
      <c r="L13" s="347"/>
    </row>
    <row r="14" spans="1:18" ht="15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</row>
    <row r="16" spans="1:18" ht="15">
      <c r="A16" s="347"/>
      <c r="B16" s="352" t="s">
        <v>134</v>
      </c>
      <c r="C16" s="352" t="s">
        <v>134</v>
      </c>
      <c r="E16" s="335" t="s">
        <v>223</v>
      </c>
      <c r="F16" s="335" t="s">
        <v>224</v>
      </c>
      <c r="G16" s="335" t="s">
        <v>224</v>
      </c>
      <c r="H16" s="335" t="s">
        <v>224</v>
      </c>
      <c r="I16" s="335" t="s">
        <v>224</v>
      </c>
      <c r="J16" s="335" t="s">
        <v>224</v>
      </c>
      <c r="K16" s="335" t="s">
        <v>224</v>
      </c>
      <c r="L16" s="335" t="s">
        <v>224</v>
      </c>
      <c r="M16" s="335" t="s">
        <v>224</v>
      </c>
      <c r="N16" s="335" t="s">
        <v>224</v>
      </c>
      <c r="O16" s="335" t="s">
        <v>224</v>
      </c>
      <c r="P16" s="335" t="s">
        <v>224</v>
      </c>
      <c r="Q16" s="335" t="s">
        <v>224</v>
      </c>
      <c r="R16" s="118"/>
    </row>
    <row r="17" spans="1:18" ht="15">
      <c r="A17" s="352" t="s">
        <v>6</v>
      </c>
      <c r="B17" s="352" t="s">
        <v>225</v>
      </c>
      <c r="C17" s="352" t="s">
        <v>225</v>
      </c>
      <c r="E17" s="335" t="s">
        <v>226</v>
      </c>
      <c r="F17" s="335" t="s">
        <v>226</v>
      </c>
      <c r="G17" s="335" t="s">
        <v>226</v>
      </c>
      <c r="H17" s="335" t="s">
        <v>226</v>
      </c>
      <c r="I17" s="335" t="s">
        <v>226</v>
      </c>
      <c r="J17" s="335" t="s">
        <v>226</v>
      </c>
      <c r="K17" s="335" t="s">
        <v>226</v>
      </c>
      <c r="L17" s="335" t="s">
        <v>226</v>
      </c>
      <c r="M17" s="335" t="s">
        <v>226</v>
      </c>
      <c r="N17" s="335" t="s">
        <v>226</v>
      </c>
      <c r="O17" s="335" t="s">
        <v>226</v>
      </c>
      <c r="P17" s="335" t="s">
        <v>226</v>
      </c>
      <c r="Q17" s="335" t="s">
        <v>226</v>
      </c>
      <c r="R17" s="335" t="s">
        <v>227</v>
      </c>
    </row>
    <row r="18" spans="1:18" ht="15">
      <c r="A18" s="352" t="s">
        <v>48</v>
      </c>
      <c r="B18" s="352" t="s">
        <v>228</v>
      </c>
      <c r="C18" s="352" t="s">
        <v>137</v>
      </c>
      <c r="E18" s="336">
        <v>43617</v>
      </c>
      <c r="F18" s="336">
        <v>43617</v>
      </c>
      <c r="G18" s="336">
        <v>43647</v>
      </c>
      <c r="H18" s="336">
        <v>43678</v>
      </c>
      <c r="I18" s="336">
        <v>43709</v>
      </c>
      <c r="J18" s="336">
        <v>43739</v>
      </c>
      <c r="K18" s="336">
        <v>43770</v>
      </c>
      <c r="L18" s="336">
        <v>43800</v>
      </c>
      <c r="M18" s="336">
        <v>43831</v>
      </c>
      <c r="N18" s="336">
        <v>43862</v>
      </c>
      <c r="O18" s="336">
        <v>43891</v>
      </c>
      <c r="P18" s="336">
        <v>43922</v>
      </c>
      <c r="Q18" s="336">
        <v>43952</v>
      </c>
      <c r="R18" s="335" t="s">
        <v>229</v>
      </c>
    </row>
    <row r="19" spans="2:16" ht="15" thickBot="1"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</row>
    <row r="20" spans="1:18" ht="15">
      <c r="A20" s="337">
        <v>1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49"/>
      <c r="R20" s="349"/>
    </row>
    <row r="21" spans="1:18" ht="15">
      <c r="A21" s="338">
        <f aca="true" t="shared" si="0" ref="A21:A49">IF(A20&lt;0,1,A20+1)</f>
        <v>2</v>
      </c>
      <c r="B21" s="339" t="s">
        <v>378</v>
      </c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118"/>
      <c r="R21" s="118"/>
    </row>
    <row r="22" spans="1:18" ht="15">
      <c r="A22" s="338">
        <f t="shared" si="0"/>
        <v>3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118"/>
      <c r="R22" s="118"/>
    </row>
    <row r="23" spans="1:18" ht="15">
      <c r="A23" s="338">
        <f t="shared" si="0"/>
        <v>4</v>
      </c>
      <c r="B23" s="333" t="s">
        <v>376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118"/>
      <c r="R23" s="118"/>
    </row>
    <row r="24" spans="1:18" ht="15">
      <c r="A24" s="338">
        <f t="shared" si="0"/>
        <v>5</v>
      </c>
      <c r="B24" s="333" t="s">
        <v>502</v>
      </c>
      <c r="C24" s="333"/>
      <c r="D24" s="333"/>
      <c r="E24" s="354">
        <v>0</v>
      </c>
      <c r="F24" s="340">
        <f>+'PIS and Depr Calc'!C16</f>
        <v>3441.518655466843</v>
      </c>
      <c r="G24" s="340">
        <f>+'PIS and Depr Calc'!D16</f>
        <v>6883.037310933686</v>
      </c>
      <c r="H24" s="340">
        <f>+'PIS and Depr Calc'!E16</f>
        <v>10324.555966400529</v>
      </c>
      <c r="I24" s="340">
        <f>+'PIS and Depr Calc'!F16</f>
        <v>13766.074621867372</v>
      </c>
      <c r="J24" s="340">
        <f>+'PIS and Depr Calc'!G16</f>
        <v>17207.593277334214</v>
      </c>
      <c r="K24" s="340">
        <f>+'PIS and Depr Calc'!H16</f>
        <v>20649.111932801057</v>
      </c>
      <c r="L24" s="340">
        <f>+'PIS and Depr Calc'!I16</f>
        <v>24090.6305882679</v>
      </c>
      <c r="M24" s="340">
        <f>+'PIS and Depr Calc'!K16</f>
        <v>27532.149243734744</v>
      </c>
      <c r="N24" s="340">
        <f>+'PIS and Depr Calc'!L16</f>
        <v>30973.667899201588</v>
      </c>
      <c r="O24" s="340">
        <f>+'PIS and Depr Calc'!M16</f>
        <v>34415.18655466843</v>
      </c>
      <c r="P24" s="340">
        <f>+'PIS and Depr Calc'!N16</f>
        <v>37856.70521013527</v>
      </c>
      <c r="Q24" s="340">
        <f>+'PIS and Depr Calc'!O16</f>
        <v>41298.22386560211</v>
      </c>
      <c r="R24" s="341"/>
    </row>
    <row r="25" spans="1:18" ht="15">
      <c r="A25" s="338">
        <f t="shared" si="0"/>
        <v>6</v>
      </c>
      <c r="B25" s="333" t="s">
        <v>230</v>
      </c>
      <c r="C25" s="333"/>
      <c r="D25" s="333"/>
      <c r="E25" s="344">
        <f>SUM(E24)</f>
        <v>0</v>
      </c>
      <c r="F25" s="344">
        <f>SUM(F24)</f>
        <v>3441.518655466843</v>
      </c>
      <c r="G25" s="344">
        <f aca="true" t="shared" si="1" ref="G25:Q25">SUM(G24)</f>
        <v>6883.037310933686</v>
      </c>
      <c r="H25" s="344">
        <f t="shared" si="1"/>
        <v>10324.555966400529</v>
      </c>
      <c r="I25" s="344">
        <f t="shared" si="1"/>
        <v>13766.074621867372</v>
      </c>
      <c r="J25" s="344">
        <f t="shared" si="1"/>
        <v>17207.593277334214</v>
      </c>
      <c r="K25" s="344">
        <f t="shared" si="1"/>
        <v>20649.111932801057</v>
      </c>
      <c r="L25" s="344">
        <f t="shared" si="1"/>
        <v>24090.6305882679</v>
      </c>
      <c r="M25" s="344">
        <f t="shared" si="1"/>
        <v>27532.149243734744</v>
      </c>
      <c r="N25" s="344">
        <f t="shared" si="1"/>
        <v>30973.667899201588</v>
      </c>
      <c r="O25" s="344">
        <f t="shared" si="1"/>
        <v>34415.18655466843</v>
      </c>
      <c r="P25" s="344">
        <f t="shared" si="1"/>
        <v>37856.70521013527</v>
      </c>
      <c r="Q25" s="344">
        <f t="shared" si="1"/>
        <v>41298.22386560211</v>
      </c>
      <c r="R25" s="342">
        <f>SUM(E25:Q25)/13</f>
        <v>20649.111932801057</v>
      </c>
    </row>
    <row r="26" spans="1:18" ht="15">
      <c r="A26" s="338">
        <f t="shared" si="0"/>
        <v>7</v>
      </c>
      <c r="B26" s="333"/>
      <c r="C26" s="333"/>
      <c r="D26" s="33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12"/>
      <c r="R26" s="312"/>
    </row>
    <row r="27" spans="1:18" ht="15">
      <c r="A27" s="338">
        <f t="shared" si="0"/>
        <v>8</v>
      </c>
      <c r="B27" s="541" t="s">
        <v>130</v>
      </c>
      <c r="C27" s="333"/>
      <c r="D27" s="33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12"/>
      <c r="R27" s="312"/>
    </row>
    <row r="28" spans="1:18" ht="15">
      <c r="A28" s="338">
        <f t="shared" si="0"/>
        <v>9</v>
      </c>
      <c r="B28" s="333" t="s">
        <v>502</v>
      </c>
      <c r="C28" s="333"/>
      <c r="D28" s="333"/>
      <c r="E28" s="323">
        <v>0</v>
      </c>
      <c r="F28" s="323">
        <f>+'PIS and Depr Calc'!C31</f>
        <v>89.06820000720437</v>
      </c>
      <c r="G28" s="323">
        <f>+'PIS and Depr Calc'!D31</f>
        <v>178.21532170035874</v>
      </c>
      <c r="H28" s="323">
        <f>+'PIS and Depr Calc'!E31</f>
        <v>267.3624433935131</v>
      </c>
      <c r="I28" s="323">
        <f>+'PIS and Depr Calc'!F31</f>
        <v>356.50956508666746</v>
      </c>
      <c r="J28" s="323">
        <f>+'PIS and Depr Calc'!G31</f>
        <v>445.6566867798218</v>
      </c>
      <c r="K28" s="323">
        <f>+'PIS and Depr Calc'!H31</f>
        <v>534.8038084729762</v>
      </c>
      <c r="L28" s="323">
        <f>+'PIS and Depr Calc'!I31</f>
        <v>623.9509301661305</v>
      </c>
      <c r="M28" s="323">
        <f>+'PIS and Depr Calc'!K31</f>
        <v>713.0980518592849</v>
      </c>
      <c r="N28" s="323">
        <f>+'PIS and Depr Calc'!L31</f>
        <v>802.2451735524392</v>
      </c>
      <c r="O28" s="323">
        <f>+'PIS and Depr Calc'!M31</f>
        <v>891.3922952455935</v>
      </c>
      <c r="P28" s="323">
        <f>+'PIS and Depr Calc'!N31</f>
        <v>980.5394169387478</v>
      </c>
      <c r="Q28" s="323">
        <f>+'PIS and Depr Calc'!O31</f>
        <v>1069.686538631902</v>
      </c>
      <c r="R28" s="312">
        <f>SUM(E28:Q28)/13</f>
        <v>534.8098793718954</v>
      </c>
    </row>
    <row r="29" spans="1:18" ht="15">
      <c r="A29" s="338">
        <f t="shared" si="0"/>
        <v>10</v>
      </c>
      <c r="B29" s="333" t="s">
        <v>562</v>
      </c>
      <c r="C29" s="333"/>
      <c r="D29" s="333"/>
      <c r="E29" s="323">
        <v>0</v>
      </c>
      <c r="F29" s="323">
        <f>+'PIS and Depr Calc'!C46</f>
        <v>75.10716980185045</v>
      </c>
      <c r="G29" s="323">
        <f>+'PIS and Depr Calc'!D46</f>
        <v>150.2143396037009</v>
      </c>
      <c r="H29" s="323">
        <f>+'PIS and Depr Calc'!E46</f>
        <v>225.32150940555135</v>
      </c>
      <c r="I29" s="323">
        <f>+'PIS and Depr Calc'!F46</f>
        <v>300.4286792074018</v>
      </c>
      <c r="J29" s="323">
        <f>+'PIS and Depr Calc'!G46</f>
        <v>375.5358490092522</v>
      </c>
      <c r="K29" s="323">
        <f>+'PIS and Depr Calc'!H46</f>
        <v>450.64301881110265</v>
      </c>
      <c r="L29" s="323">
        <f>+'PIS and Depr Calc'!I46</f>
        <v>525.7501886129531</v>
      </c>
      <c r="M29" s="323">
        <f>+'PIS and Depr Calc'!K46</f>
        <v>600.8573584148036</v>
      </c>
      <c r="N29" s="323">
        <f>+'PIS and Depr Calc'!L46</f>
        <v>675.964528216654</v>
      </c>
      <c r="O29" s="323">
        <f>+'PIS and Depr Calc'!M46</f>
        <v>751.0716980185044</v>
      </c>
      <c r="P29" s="323">
        <f>+'PIS and Depr Calc'!N46</f>
        <v>826.1788678203549</v>
      </c>
      <c r="Q29" s="323">
        <f>+'PIS and Depr Calc'!O46</f>
        <v>901.2860376222053</v>
      </c>
      <c r="R29" s="312">
        <f>SUM(E29:Q29)/13</f>
        <v>450.64301881110265</v>
      </c>
    </row>
    <row r="30" spans="1:18" ht="15">
      <c r="A30" s="338">
        <f t="shared" si="0"/>
        <v>11</v>
      </c>
      <c r="B30" s="333" t="s">
        <v>377</v>
      </c>
      <c r="C30" s="333"/>
      <c r="D30" s="333"/>
      <c r="E30" s="344">
        <f>SUM(E28)</f>
        <v>0</v>
      </c>
      <c r="F30" s="344">
        <f>SUM(F28:F29)</f>
        <v>164.1753698090548</v>
      </c>
      <c r="G30" s="344">
        <f aca="true" t="shared" si="2" ref="G30:Q30">SUM(G28:G29)</f>
        <v>328.42966130405966</v>
      </c>
      <c r="H30" s="344">
        <f t="shared" si="2"/>
        <v>492.68395279906446</v>
      </c>
      <c r="I30" s="344">
        <f t="shared" si="2"/>
        <v>656.9382442940692</v>
      </c>
      <c r="J30" s="344">
        <f t="shared" si="2"/>
        <v>821.1925357890741</v>
      </c>
      <c r="K30" s="344">
        <f t="shared" si="2"/>
        <v>985.4468272840788</v>
      </c>
      <c r="L30" s="344">
        <f t="shared" si="2"/>
        <v>1149.7011187790836</v>
      </c>
      <c r="M30" s="344">
        <f t="shared" si="2"/>
        <v>1313.9554102740885</v>
      </c>
      <c r="N30" s="344">
        <f t="shared" si="2"/>
        <v>1478.209701769093</v>
      </c>
      <c r="O30" s="344">
        <f t="shared" si="2"/>
        <v>1642.463993264098</v>
      </c>
      <c r="P30" s="344">
        <f t="shared" si="2"/>
        <v>1806.7182847591025</v>
      </c>
      <c r="Q30" s="344">
        <f t="shared" si="2"/>
        <v>1970.9725762541075</v>
      </c>
      <c r="R30" s="342">
        <f>SUM(E30:Q30)/13</f>
        <v>985.4528981829982</v>
      </c>
    </row>
    <row r="31" spans="1:18" ht="15">
      <c r="A31" s="338">
        <f t="shared" si="0"/>
        <v>12</v>
      </c>
      <c r="B31" s="333"/>
      <c r="C31" s="333"/>
      <c r="D31" s="33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12"/>
      <c r="R31" s="312"/>
    </row>
    <row r="32" spans="1:18" ht="15">
      <c r="A32" s="338">
        <f t="shared" si="0"/>
        <v>13</v>
      </c>
      <c r="B32" s="333"/>
      <c r="C32" s="333"/>
      <c r="D32" s="33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12"/>
      <c r="R32" s="312"/>
    </row>
    <row r="33" spans="1:18" ht="15">
      <c r="A33" s="338">
        <f t="shared" si="0"/>
        <v>14</v>
      </c>
      <c r="B33" s="333" t="s">
        <v>231</v>
      </c>
      <c r="C33" s="333"/>
      <c r="D33" s="333"/>
      <c r="E33" s="346">
        <f>+E25+E30</f>
        <v>0</v>
      </c>
      <c r="F33" s="346">
        <f>+F25+F30</f>
        <v>3605.6940252758977</v>
      </c>
      <c r="G33" s="346">
        <f aca="true" t="shared" si="3" ref="G33:Q33">+G25+G30</f>
        <v>7211.466972237746</v>
      </c>
      <c r="H33" s="346">
        <f t="shared" si="3"/>
        <v>10817.239919199594</v>
      </c>
      <c r="I33" s="346">
        <f>+I25+I30</f>
        <v>14423.012866161442</v>
      </c>
      <c r="J33" s="346">
        <f t="shared" si="3"/>
        <v>18028.785813123286</v>
      </c>
      <c r="K33" s="346">
        <f t="shared" si="3"/>
        <v>21634.558760085136</v>
      </c>
      <c r="L33" s="346">
        <f t="shared" si="3"/>
        <v>25240.331707046986</v>
      </c>
      <c r="M33" s="346">
        <f t="shared" si="3"/>
        <v>28846.104654008832</v>
      </c>
      <c r="N33" s="346">
        <f t="shared" si="3"/>
        <v>32451.87760097068</v>
      </c>
      <c r="O33" s="346">
        <f t="shared" si="3"/>
        <v>36057.65054793253</v>
      </c>
      <c r="P33" s="346">
        <f t="shared" si="3"/>
        <v>39663.42349489437</v>
      </c>
      <c r="Q33" s="346">
        <f t="shared" si="3"/>
        <v>43269.19644185621</v>
      </c>
      <c r="R33" s="346">
        <f>+R25+R30</f>
        <v>21634.564830984054</v>
      </c>
    </row>
    <row r="34" spans="1:18" ht="15">
      <c r="A34" s="338">
        <f t="shared" si="0"/>
        <v>15</v>
      </c>
      <c r="B34" s="333"/>
      <c r="C34" s="333"/>
      <c r="D34" s="333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3"/>
      <c r="R34" s="343"/>
    </row>
    <row r="35" spans="1:18" ht="15">
      <c r="A35" s="338">
        <f t="shared" si="0"/>
        <v>16</v>
      </c>
      <c r="B35" s="333" t="s">
        <v>242</v>
      </c>
      <c r="C35" s="333"/>
      <c r="D35" s="333"/>
      <c r="E35" s="316">
        <v>0</v>
      </c>
      <c r="F35" s="316">
        <v>0</v>
      </c>
      <c r="G35" s="316">
        <v>0</v>
      </c>
      <c r="H35" s="316">
        <v>0</v>
      </c>
      <c r="I35" s="316">
        <v>0</v>
      </c>
      <c r="J35" s="316">
        <v>0</v>
      </c>
      <c r="K35" s="316">
        <v>0</v>
      </c>
      <c r="L35" s="316">
        <v>0</v>
      </c>
      <c r="M35" s="316">
        <v>0</v>
      </c>
      <c r="N35" s="316">
        <v>0</v>
      </c>
      <c r="O35" s="316">
        <v>0</v>
      </c>
      <c r="P35" s="316">
        <v>0</v>
      </c>
      <c r="Q35" s="316">
        <v>0</v>
      </c>
      <c r="R35" s="316">
        <v>0</v>
      </c>
    </row>
    <row r="36" spans="1:18" ht="15">
      <c r="A36" s="338">
        <f t="shared" si="0"/>
        <v>17</v>
      </c>
      <c r="B36" s="333"/>
      <c r="C36" s="333"/>
      <c r="D36" s="333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</row>
    <row r="37" spans="1:18" ht="15">
      <c r="A37" s="338">
        <f t="shared" si="0"/>
        <v>18</v>
      </c>
      <c r="B37" s="333" t="s">
        <v>232</v>
      </c>
      <c r="C37" s="333"/>
      <c r="D37" s="333"/>
      <c r="E37" s="316">
        <v>0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316">
        <v>0</v>
      </c>
      <c r="L37" s="316">
        <v>0</v>
      </c>
      <c r="M37" s="316">
        <v>0</v>
      </c>
      <c r="N37" s="316">
        <v>0</v>
      </c>
      <c r="O37" s="316">
        <v>0</v>
      </c>
      <c r="P37" s="316">
        <v>0</v>
      </c>
      <c r="Q37" s="316">
        <v>0</v>
      </c>
      <c r="R37" s="316">
        <v>0</v>
      </c>
    </row>
    <row r="38" spans="1:18" ht="15">
      <c r="A38" s="338">
        <f t="shared" si="0"/>
        <v>19</v>
      </c>
      <c r="B38" s="333"/>
      <c r="C38" s="333"/>
      <c r="D38" s="333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3"/>
      <c r="R38" s="343"/>
    </row>
    <row r="39" spans="1:18" ht="15">
      <c r="A39" s="338">
        <f t="shared" si="0"/>
        <v>20</v>
      </c>
      <c r="B39" s="333" t="s">
        <v>233</v>
      </c>
      <c r="C39" s="333"/>
      <c r="D39" s="333"/>
      <c r="E39" s="355">
        <f>+E33+E35+E37</f>
        <v>0</v>
      </c>
      <c r="F39" s="344">
        <f>+F33+F35+F37</f>
        <v>3605.6940252758977</v>
      </c>
      <c r="G39" s="344">
        <f aca="true" t="shared" si="4" ref="G39:R39">+G33+G35+G37</f>
        <v>7211.466972237746</v>
      </c>
      <c r="H39" s="344">
        <f t="shared" si="4"/>
        <v>10817.239919199594</v>
      </c>
      <c r="I39" s="344">
        <f t="shared" si="4"/>
        <v>14423.012866161442</v>
      </c>
      <c r="J39" s="344">
        <f t="shared" si="4"/>
        <v>18028.785813123286</v>
      </c>
      <c r="K39" s="344">
        <f t="shared" si="4"/>
        <v>21634.558760085136</v>
      </c>
      <c r="L39" s="344">
        <f t="shared" si="4"/>
        <v>25240.331707046986</v>
      </c>
      <c r="M39" s="344">
        <f t="shared" si="4"/>
        <v>28846.104654008832</v>
      </c>
      <c r="N39" s="344">
        <f t="shared" si="4"/>
        <v>32451.87760097068</v>
      </c>
      <c r="O39" s="344">
        <f t="shared" si="4"/>
        <v>36057.65054793253</v>
      </c>
      <c r="P39" s="344">
        <f t="shared" si="4"/>
        <v>39663.42349489437</v>
      </c>
      <c r="Q39" s="344">
        <f t="shared" si="4"/>
        <v>43269.19644185621</v>
      </c>
      <c r="R39" s="344">
        <f t="shared" si="4"/>
        <v>21634.564830984054</v>
      </c>
    </row>
    <row r="40" spans="1:18" ht="15">
      <c r="A40" s="338">
        <f t="shared" si="0"/>
        <v>21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118"/>
      <c r="R40" s="118"/>
    </row>
    <row r="41" spans="1:18" ht="15">
      <c r="A41" s="338">
        <f t="shared" si="0"/>
        <v>22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118"/>
      <c r="R41" s="118"/>
    </row>
    <row r="42" spans="1:18" ht="15">
      <c r="A42" s="338">
        <f t="shared" si="0"/>
        <v>23</v>
      </c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118"/>
      <c r="R42" s="118"/>
    </row>
    <row r="43" spans="1:18" ht="15">
      <c r="A43" s="338">
        <f t="shared" si="0"/>
        <v>24</v>
      </c>
      <c r="B43" s="118" t="s">
        <v>445</v>
      </c>
      <c r="C43" s="333"/>
      <c r="D43" s="118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118"/>
      <c r="R43" s="118"/>
    </row>
    <row r="44" spans="1:18" ht="15">
      <c r="A44" s="338">
        <f t="shared" si="0"/>
        <v>25</v>
      </c>
      <c r="B44" s="333" t="s">
        <v>267</v>
      </c>
      <c r="C44" s="333"/>
      <c r="D44" s="118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118"/>
      <c r="R44" s="118"/>
    </row>
    <row r="45" spans="1:16" ht="15">
      <c r="A45" s="338">
        <f t="shared" si="0"/>
        <v>26</v>
      </c>
      <c r="B45" s="347"/>
      <c r="C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</row>
    <row r="46" spans="1:16" ht="15">
      <c r="A46" s="338">
        <f t="shared" si="0"/>
        <v>27</v>
      </c>
      <c r="B46" s="347"/>
      <c r="C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</row>
    <row r="47" spans="1:16" ht="15">
      <c r="A47" s="338">
        <f t="shared" si="0"/>
        <v>28</v>
      </c>
      <c r="B47" s="347"/>
      <c r="C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</row>
    <row r="48" spans="1:16" ht="15">
      <c r="A48" s="338">
        <f t="shared" si="0"/>
        <v>29</v>
      </c>
      <c r="B48" s="347"/>
      <c r="C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</row>
    <row r="49" spans="1:16" ht="15">
      <c r="A49" s="338">
        <f t="shared" si="0"/>
        <v>30</v>
      </c>
      <c r="B49" s="347"/>
      <c r="C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</row>
    <row r="50" spans="2:16" ht="15">
      <c r="B50" s="347"/>
      <c r="C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</row>
    <row r="51" spans="2:16" ht="15">
      <c r="B51" s="347"/>
      <c r="C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</row>
    <row r="52" ht="15" thickBot="1"/>
    <row r="53" spans="1:18" ht="409.5">
      <c r="A53" s="349" t="s">
        <v>13</v>
      </c>
      <c r="B53" s="349"/>
      <c r="C53" s="349"/>
      <c r="D53" s="353"/>
      <c r="E53" s="353"/>
      <c r="F53" s="353"/>
      <c r="G53" s="353"/>
      <c r="H53" s="353"/>
      <c r="I53" s="353"/>
      <c r="J53" s="353"/>
      <c r="K53" s="353"/>
      <c r="L53" s="353"/>
      <c r="M53" s="349" t="s">
        <v>14</v>
      </c>
      <c r="N53" s="349"/>
      <c r="O53" s="353" t="s">
        <v>125</v>
      </c>
      <c r="P53" s="353"/>
      <c r="Q53" s="349"/>
      <c r="R53" s="349"/>
    </row>
    <row r="55" spans="1:18" ht="1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</row>
  </sheetData>
  <sheetProtection/>
  <mergeCells count="1">
    <mergeCell ref="D11:G11"/>
  </mergeCells>
  <printOptions horizontalCentered="1"/>
  <pageMargins left="0.5" right="0.5" top="0.75" bottom="0.25" header="0" footer="0"/>
  <pageSetup horizontalDpi="600" verticalDpi="600" orientation="landscape" scale="54" r:id="rId1"/>
  <ignoredErrors>
    <ignoredError sqref="E31:R32 E25:Q25 E26:R27 E30 E34:R39 E33 E28:Q28 R30 F29:R29 F30:Q30 J33:R33 G33:H33 F33 I3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T63"/>
  <sheetViews>
    <sheetView showGridLines="0" showOutlineSymbols="0" view="pageBreakPreview" zoomScale="70" zoomScaleNormal="70" zoomScaleSheetLayoutView="70" zoomScalePageLayoutView="0" workbookViewId="0" topLeftCell="A1">
      <selection activeCell="A2" sqref="A2"/>
    </sheetView>
  </sheetViews>
  <sheetFormatPr defaultColWidth="9.6640625" defaultRowHeight="15"/>
  <cols>
    <col min="1" max="1" width="10.77734375" style="16" customWidth="1"/>
    <col min="2" max="2" width="15.77734375" style="16" customWidth="1"/>
    <col min="3" max="3" width="10.77734375" style="16" customWidth="1"/>
    <col min="4" max="4" width="7.6640625" style="16" customWidth="1"/>
    <col min="5" max="5" width="13.6640625" style="16" customWidth="1"/>
    <col min="6" max="6" width="6.6640625" style="16" customWidth="1"/>
    <col min="7" max="7" width="9.6640625" style="16" customWidth="1"/>
    <col min="8" max="8" width="6.6640625" style="16" customWidth="1"/>
    <col min="9" max="9" width="9.6640625" style="16" customWidth="1"/>
    <col min="10" max="10" width="6.6640625" style="16" customWidth="1"/>
    <col min="11" max="11" width="12.88671875" style="16" customWidth="1"/>
    <col min="12" max="12" width="6.6640625" style="16" customWidth="1"/>
    <col min="13" max="13" width="12.88671875" style="16" customWidth="1"/>
    <col min="14" max="14" width="6.6640625" style="16" customWidth="1"/>
    <col min="15" max="15" width="13.6640625" style="16" customWidth="1"/>
    <col min="16" max="16" width="6.6640625" style="16" customWidth="1"/>
    <col min="17" max="17" width="13.6640625" style="16" customWidth="1"/>
    <col min="18" max="18" width="6.6640625" style="16" customWidth="1"/>
    <col min="19" max="19" width="15.10546875" style="16" customWidth="1"/>
    <col min="20" max="16384" width="9.6640625" style="16" customWidth="1"/>
  </cols>
  <sheetData>
    <row r="1" s="261" customFormat="1" ht="16.5">
      <c r="A1" s="261" t="s">
        <v>577</v>
      </c>
    </row>
    <row r="2" s="261" customFormat="1" ht="16.5">
      <c r="A2" s="261" t="s">
        <v>571</v>
      </c>
    </row>
    <row r="3" s="261" customFormat="1" ht="16.5"/>
    <row r="4" spans="1:18" ht="16.5">
      <c r="A4" s="16" t="s">
        <v>11</v>
      </c>
      <c r="B4" s="17"/>
      <c r="E4" s="17"/>
      <c r="F4" s="17"/>
      <c r="H4" s="17" t="s">
        <v>60</v>
      </c>
      <c r="I4" s="17"/>
      <c r="J4" s="17"/>
      <c r="K4" s="17"/>
      <c r="L4" s="17"/>
      <c r="R4" s="16" t="s">
        <v>19</v>
      </c>
    </row>
    <row r="5" spans="1:20" ht="17.25" thickBot="1">
      <c r="A5" s="119" t="str">
        <f>+'A-1'!A5</f>
        <v>2019 Okeechobee Limited Scope Adjustment</v>
      </c>
      <c r="T5" s="77"/>
    </row>
    <row r="6" spans="1:19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6" ht="16.5">
      <c r="A7" s="16" t="s">
        <v>2</v>
      </c>
      <c r="G7" s="16" t="s">
        <v>61</v>
      </c>
      <c r="I7" s="17" t="s">
        <v>62</v>
      </c>
      <c r="J7" s="17"/>
      <c r="K7" s="17"/>
      <c r="L7" s="17"/>
      <c r="P7" s="16" t="s">
        <v>5</v>
      </c>
    </row>
    <row r="8" spans="7:12" ht="16.5">
      <c r="G8" s="17"/>
      <c r="H8" s="17"/>
      <c r="I8" s="15" t="s">
        <v>369</v>
      </c>
      <c r="J8" s="17"/>
      <c r="K8" s="17"/>
      <c r="L8" s="17"/>
    </row>
    <row r="9" spans="1:16" ht="16.5" customHeight="1">
      <c r="A9" s="16" t="s">
        <v>117</v>
      </c>
      <c r="B9" s="607" t="s">
        <v>20</v>
      </c>
      <c r="C9" s="607"/>
      <c r="D9" s="607"/>
      <c r="E9" s="78"/>
      <c r="F9" s="78"/>
      <c r="G9" s="17"/>
      <c r="H9" s="17"/>
      <c r="I9" s="286" t="s">
        <v>488</v>
      </c>
      <c r="J9" s="17"/>
      <c r="K9" s="17"/>
      <c r="L9" s="17"/>
      <c r="P9" s="126" t="s">
        <v>444</v>
      </c>
    </row>
    <row r="10" spans="2:12" ht="16.5">
      <c r="B10" s="607"/>
      <c r="C10" s="607"/>
      <c r="D10" s="607"/>
      <c r="E10" s="17"/>
      <c r="F10" s="17"/>
      <c r="G10" s="17"/>
      <c r="H10" s="17"/>
      <c r="I10" s="17"/>
      <c r="J10" s="25"/>
      <c r="K10" s="17"/>
      <c r="L10" s="17"/>
    </row>
    <row r="11" spans="5:16" ht="16.5">
      <c r="E11" s="17"/>
      <c r="F11" s="17"/>
      <c r="G11" s="17"/>
      <c r="H11" s="17"/>
      <c r="I11" s="17"/>
      <c r="J11" s="25"/>
      <c r="K11" s="17"/>
      <c r="L11" s="17"/>
      <c r="P11" s="16" t="s">
        <v>214</v>
      </c>
    </row>
    <row r="12" spans="1:12" ht="16.5">
      <c r="A12" s="45" t="str">
        <f>+'A-1'!A12</f>
        <v>DOCKET NO.: 160021-EI</v>
      </c>
      <c r="E12" s="17"/>
      <c r="F12" s="17"/>
      <c r="G12" s="17"/>
      <c r="H12" s="17"/>
      <c r="I12" s="17"/>
      <c r="J12" s="17"/>
      <c r="K12" s="17"/>
      <c r="L12" s="17"/>
    </row>
    <row r="13" spans="5:20" ht="17.25" thickBot="1">
      <c r="E13" s="17"/>
      <c r="F13" s="17"/>
      <c r="G13" s="17"/>
      <c r="H13" s="17"/>
      <c r="I13" s="17"/>
      <c r="J13" s="25" t="s">
        <v>63</v>
      </c>
      <c r="K13" s="17"/>
      <c r="L13" s="17"/>
      <c r="T13" s="77"/>
    </row>
    <row r="14" spans="1:19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6.5">
      <c r="A15" s="17"/>
      <c r="B15" s="27" t="s">
        <v>21</v>
      </c>
      <c r="C15" s="17"/>
      <c r="D15" s="27"/>
      <c r="E15" s="27" t="s">
        <v>22</v>
      </c>
      <c r="G15" s="27" t="s">
        <v>23</v>
      </c>
      <c r="I15" s="27" t="s">
        <v>24</v>
      </c>
      <c r="K15" s="27" t="s">
        <v>25</v>
      </c>
      <c r="M15" s="27" t="s">
        <v>26</v>
      </c>
      <c r="O15" s="25" t="s">
        <v>27</v>
      </c>
      <c r="P15" s="27"/>
      <c r="Q15" s="112">
        <v>-8</v>
      </c>
      <c r="R15" s="25"/>
      <c r="S15" s="27"/>
    </row>
    <row r="16" spans="2:17" ht="16.5">
      <c r="B16" s="17"/>
      <c r="C16" s="17"/>
      <c r="F16" s="17"/>
      <c r="J16" s="17"/>
      <c r="K16" s="17"/>
      <c r="O16" s="79"/>
      <c r="Q16" s="27" t="s">
        <v>64</v>
      </c>
    </row>
    <row r="17" spans="2:17" ht="16.5">
      <c r="B17" s="17"/>
      <c r="C17" s="17"/>
      <c r="F17" s="17"/>
      <c r="G17" s="25" t="s">
        <v>65</v>
      </c>
      <c r="H17" s="17"/>
      <c r="I17" s="25" t="s">
        <v>66</v>
      </c>
      <c r="J17" s="17"/>
      <c r="M17" s="27" t="s">
        <v>67</v>
      </c>
      <c r="Q17" s="27" t="s">
        <v>67</v>
      </c>
    </row>
    <row r="18" spans="1:17" ht="16.5">
      <c r="A18" s="25" t="s">
        <v>6</v>
      </c>
      <c r="B18" s="17"/>
      <c r="C18" s="17"/>
      <c r="E18" s="25" t="s">
        <v>68</v>
      </c>
      <c r="F18" s="17"/>
      <c r="G18" s="25" t="s">
        <v>69</v>
      </c>
      <c r="H18" s="17"/>
      <c r="I18" s="25" t="s">
        <v>69</v>
      </c>
      <c r="J18" s="17"/>
      <c r="K18" s="27" t="s">
        <v>67</v>
      </c>
      <c r="M18" s="27" t="s">
        <v>70</v>
      </c>
      <c r="O18" s="25" t="s">
        <v>67</v>
      </c>
      <c r="Q18" s="27" t="s">
        <v>70</v>
      </c>
    </row>
    <row r="19" spans="1:17" ht="16.5">
      <c r="A19" s="25" t="s">
        <v>48</v>
      </c>
      <c r="B19" s="16" t="s">
        <v>261</v>
      </c>
      <c r="D19" s="17"/>
      <c r="E19" s="25" t="s">
        <v>72</v>
      </c>
      <c r="G19" s="25" t="s">
        <v>73</v>
      </c>
      <c r="H19" s="17"/>
      <c r="I19" s="25" t="s">
        <v>262</v>
      </c>
      <c r="K19" s="25" t="s">
        <v>74</v>
      </c>
      <c r="M19" s="27" t="s">
        <v>263</v>
      </c>
      <c r="O19" s="25" t="s">
        <v>71</v>
      </c>
      <c r="Q19" s="27" t="s">
        <v>264</v>
      </c>
    </row>
    <row r="20" spans="2:20" ht="17.25" thickBot="1">
      <c r="B20" s="17"/>
      <c r="C20" s="17"/>
      <c r="F20" s="17"/>
      <c r="G20" s="17"/>
      <c r="H20" s="17"/>
      <c r="I20" s="17"/>
      <c r="J20" s="17"/>
      <c r="K20" s="25" t="s">
        <v>126</v>
      </c>
      <c r="L20" s="17"/>
      <c r="M20" s="17"/>
      <c r="N20" s="17"/>
      <c r="O20" s="17"/>
      <c r="P20" s="17"/>
      <c r="T20" s="77"/>
    </row>
    <row r="21" spans="1:19" ht="16.5">
      <c r="A21" s="80">
        <f>IF(A20&gt;0,A20+1,1)</f>
        <v>1</v>
      </c>
      <c r="B21" s="35"/>
      <c r="C21" s="35"/>
      <c r="D21" s="24"/>
      <c r="E21" s="2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24"/>
      <c r="R21" s="24"/>
      <c r="S21" s="24"/>
    </row>
    <row r="22" spans="1:16" ht="16.5">
      <c r="A22" s="81">
        <f>IF(A21&gt;0,A21+1,1)</f>
        <v>2</v>
      </c>
      <c r="B22" s="17" t="s">
        <v>75</v>
      </c>
      <c r="C22" s="17"/>
      <c r="D22" s="17"/>
      <c r="F22" s="17"/>
      <c r="G22" s="37"/>
      <c r="H22" s="17"/>
      <c r="I22" s="17"/>
      <c r="J22" s="17"/>
      <c r="K22" s="17"/>
      <c r="L22" s="17"/>
      <c r="M22" s="17"/>
      <c r="N22" s="17"/>
      <c r="O22" s="17"/>
      <c r="P22" s="17"/>
    </row>
    <row r="23" spans="1:17" ht="16.5">
      <c r="A23" s="81">
        <f aca="true" t="shared" si="0" ref="A23:A60">IF(A22&gt;0,A22+1,1)</f>
        <v>3</v>
      </c>
      <c r="B23" s="17" t="s">
        <v>76</v>
      </c>
      <c r="C23" s="17"/>
      <c r="D23" s="17"/>
      <c r="E23" s="460">
        <v>0</v>
      </c>
      <c r="F23" s="460"/>
      <c r="G23" s="460">
        <v>0</v>
      </c>
      <c r="H23" s="460"/>
      <c r="I23" s="460">
        <f>E23-G23</f>
        <v>0</v>
      </c>
      <c r="J23" s="27"/>
      <c r="K23" s="466">
        <v>0</v>
      </c>
      <c r="M23" s="298">
        <f>I23*K23</f>
        <v>0</v>
      </c>
      <c r="N23" s="298"/>
      <c r="O23" s="298">
        <v>0</v>
      </c>
      <c r="P23" s="298"/>
      <c r="Q23" s="298">
        <f>M23+O23</f>
        <v>0</v>
      </c>
    </row>
    <row r="24" spans="1:17" ht="16.5">
      <c r="A24" s="81">
        <f t="shared" si="0"/>
        <v>4</v>
      </c>
      <c r="B24" s="17" t="s">
        <v>77</v>
      </c>
      <c r="C24" s="17"/>
      <c r="E24" s="460">
        <v>0</v>
      </c>
      <c r="F24" s="460"/>
      <c r="G24" s="460">
        <v>0</v>
      </c>
      <c r="H24" s="460"/>
      <c r="I24" s="460">
        <f>E24-G24</f>
        <v>0</v>
      </c>
      <c r="J24" s="27"/>
      <c r="K24" s="466">
        <v>0</v>
      </c>
      <c r="M24" s="298">
        <f>I24*K24</f>
        <v>0</v>
      </c>
      <c r="N24" s="298"/>
      <c r="O24" s="298">
        <v>0</v>
      </c>
      <c r="P24" s="298"/>
      <c r="Q24" s="298">
        <f>M24+O24</f>
        <v>0</v>
      </c>
    </row>
    <row r="25" spans="1:17" ht="16.5">
      <c r="A25" s="81">
        <f t="shared" si="0"/>
        <v>5</v>
      </c>
      <c r="B25" s="17" t="s">
        <v>78</v>
      </c>
      <c r="C25" s="17"/>
      <c r="E25" s="462">
        <f>SUM(E23:E24)</f>
        <v>0</v>
      </c>
      <c r="F25" s="460"/>
      <c r="G25" s="462">
        <f>SUM(G23:G24)</f>
        <v>0</v>
      </c>
      <c r="H25" s="460"/>
      <c r="I25" s="462">
        <f>SUM(I23:I24)</f>
        <v>0</v>
      </c>
      <c r="J25" s="27"/>
      <c r="K25" s="467">
        <f>IF(I25=0,0,M25/I25)</f>
        <v>0</v>
      </c>
      <c r="M25" s="308">
        <f>SUM(M23:M24)</f>
        <v>0</v>
      </c>
      <c r="N25" s="298"/>
      <c r="O25" s="308">
        <f>SUM(O23:O24)</f>
        <v>0</v>
      </c>
      <c r="P25" s="298"/>
      <c r="Q25" s="308">
        <f>SUM(Q23:Q24)</f>
        <v>0</v>
      </c>
    </row>
    <row r="26" spans="1:11" ht="16.5">
      <c r="A26" s="81">
        <f t="shared" si="0"/>
        <v>6</v>
      </c>
      <c r="C26" s="17"/>
      <c r="E26" s="27"/>
      <c r="F26" s="27"/>
      <c r="G26" s="27"/>
      <c r="H26" s="27"/>
      <c r="I26" s="27"/>
      <c r="J26" s="27"/>
      <c r="K26" s="466"/>
    </row>
    <row r="27" spans="1:19" ht="16.5">
      <c r="A27" s="81">
        <f t="shared" si="0"/>
        <v>7</v>
      </c>
      <c r="B27" s="17" t="s">
        <v>265</v>
      </c>
      <c r="C27" s="17"/>
      <c r="E27" s="25"/>
      <c r="F27" s="27"/>
      <c r="G27" s="25"/>
      <c r="H27" s="25"/>
      <c r="I27" s="25"/>
      <c r="J27" s="27"/>
      <c r="K27" s="468"/>
      <c r="L27" s="17"/>
      <c r="M27" s="17"/>
      <c r="O27" s="17"/>
      <c r="P27" s="17"/>
      <c r="R27" s="82" t="s">
        <v>79</v>
      </c>
      <c r="S27" s="82" t="s">
        <v>79</v>
      </c>
    </row>
    <row r="28" spans="1:17" ht="16.5">
      <c r="A28" s="81">
        <f t="shared" si="0"/>
        <v>8</v>
      </c>
      <c r="B28" s="17" t="s">
        <v>80</v>
      </c>
      <c r="C28" s="17"/>
      <c r="D28" s="17"/>
      <c r="E28" s="459"/>
      <c r="F28" s="25"/>
      <c r="G28" s="459"/>
      <c r="H28" s="25"/>
      <c r="I28" s="459"/>
      <c r="J28" s="25"/>
      <c r="K28" s="466"/>
      <c r="L28" s="17"/>
      <c r="M28" s="37"/>
      <c r="N28" s="17"/>
      <c r="O28" s="37"/>
      <c r="P28" s="17"/>
      <c r="Q28" s="37"/>
    </row>
    <row r="29" spans="1:17" ht="16.5">
      <c r="A29" s="81">
        <f t="shared" si="0"/>
        <v>9</v>
      </c>
      <c r="B29" s="16" t="s">
        <v>81</v>
      </c>
      <c r="C29" s="17"/>
      <c r="D29" s="17"/>
      <c r="E29" s="460">
        <v>0</v>
      </c>
      <c r="F29" s="463"/>
      <c r="G29" s="460">
        <v>0</v>
      </c>
      <c r="H29" s="25"/>
      <c r="I29" s="460">
        <f aca="true" t="shared" si="1" ref="I29:I38">E29-G29</f>
        <v>0</v>
      </c>
      <c r="J29" s="25"/>
      <c r="K29" s="466">
        <v>0</v>
      </c>
      <c r="L29" s="17"/>
      <c r="M29" s="298">
        <f>I29*K29</f>
        <v>0</v>
      </c>
      <c r="N29" s="296"/>
      <c r="O29" s="298">
        <v>0</v>
      </c>
      <c r="P29" s="17"/>
      <c r="Q29" s="298">
        <f>M29+O29</f>
        <v>0</v>
      </c>
    </row>
    <row r="30" spans="1:17" ht="16.5">
      <c r="A30" s="81">
        <f t="shared" si="0"/>
        <v>10</v>
      </c>
      <c r="B30" s="16" t="s">
        <v>82</v>
      </c>
      <c r="C30" s="17"/>
      <c r="D30" s="17"/>
      <c r="E30" s="460">
        <v>0</v>
      </c>
      <c r="F30" s="463"/>
      <c r="G30" s="460">
        <v>0</v>
      </c>
      <c r="H30" s="25"/>
      <c r="I30" s="460">
        <f t="shared" si="1"/>
        <v>0</v>
      </c>
      <c r="J30" s="25"/>
      <c r="K30" s="466">
        <v>0</v>
      </c>
      <c r="L30" s="17"/>
      <c r="M30" s="298">
        <f>I30*K30</f>
        <v>0</v>
      </c>
      <c r="N30" s="296"/>
      <c r="O30" s="298">
        <v>0</v>
      </c>
      <c r="P30" s="17"/>
      <c r="Q30" s="298">
        <f aca="true" t="shared" si="2" ref="Q30:Q38">M30+O30</f>
        <v>0</v>
      </c>
    </row>
    <row r="31" spans="1:17" ht="16.5">
      <c r="A31" s="81">
        <f>IF(A30&gt;0,A30+1,1)</f>
        <v>11</v>
      </c>
      <c r="B31" s="16" t="s">
        <v>83</v>
      </c>
      <c r="C31" s="17"/>
      <c r="D31" s="17"/>
      <c r="E31" s="469">
        <f>+'C-4'!I40</f>
        <v>8284.94760057746</v>
      </c>
      <c r="F31" s="25"/>
      <c r="G31" s="460">
        <v>0</v>
      </c>
      <c r="H31" s="25"/>
      <c r="I31" s="459">
        <f t="shared" si="1"/>
        <v>8284.94760057746</v>
      </c>
      <c r="J31" s="25"/>
      <c r="K31" s="466">
        <f>+'C-4'!N40</f>
        <v>0.9541179774548612</v>
      </c>
      <c r="L31" s="17"/>
      <c r="M31" s="459">
        <f>I31*K31</f>
        <v>7904.81744798247</v>
      </c>
      <c r="N31" s="25"/>
      <c r="O31" s="460">
        <v>0</v>
      </c>
      <c r="P31" s="25"/>
      <c r="Q31" s="459">
        <f t="shared" si="2"/>
        <v>7904.81744798247</v>
      </c>
    </row>
    <row r="32" spans="1:17" ht="16.5">
      <c r="A32" s="81">
        <f t="shared" si="0"/>
        <v>12</v>
      </c>
      <c r="B32" s="17" t="s">
        <v>84</v>
      </c>
      <c r="C32" s="17"/>
      <c r="D32" s="17"/>
      <c r="E32" s="469">
        <f>+'C-4'!I78</f>
        <v>43269.19644185621</v>
      </c>
      <c r="F32" s="25"/>
      <c r="G32" s="460">
        <v>0</v>
      </c>
      <c r="H32" s="25"/>
      <c r="I32" s="459">
        <f t="shared" si="1"/>
        <v>43269.19644185621</v>
      </c>
      <c r="J32" s="25"/>
      <c r="K32" s="466">
        <f>+'C-4'!N78</f>
        <v>0.9499846503803411</v>
      </c>
      <c r="L32" s="17"/>
      <c r="M32" s="459">
        <f aca="true" t="shared" si="3" ref="M32:M38">I32*K32</f>
        <v>41105.07245405507</v>
      </c>
      <c r="N32" s="25"/>
      <c r="O32" s="460">
        <v>0</v>
      </c>
      <c r="P32" s="25"/>
      <c r="Q32" s="459">
        <f t="shared" si="2"/>
        <v>41105.07245405507</v>
      </c>
    </row>
    <row r="33" spans="1:17" ht="16.5">
      <c r="A33" s="81">
        <f t="shared" si="0"/>
        <v>13</v>
      </c>
      <c r="B33" s="16" t="s">
        <v>85</v>
      </c>
      <c r="C33" s="17"/>
      <c r="D33" s="17"/>
      <c r="E33" s="460">
        <v>0</v>
      </c>
      <c r="F33" s="25"/>
      <c r="G33" s="460">
        <v>0</v>
      </c>
      <c r="H33" s="25"/>
      <c r="I33" s="460">
        <f t="shared" si="1"/>
        <v>0</v>
      </c>
      <c r="J33" s="25"/>
      <c r="K33" s="466">
        <v>0</v>
      </c>
      <c r="L33" s="17"/>
      <c r="M33" s="460">
        <f t="shared" si="3"/>
        <v>0</v>
      </c>
      <c r="N33" s="25"/>
      <c r="O33" s="460">
        <v>0</v>
      </c>
      <c r="P33" s="25"/>
      <c r="Q33" s="460">
        <f t="shared" si="2"/>
        <v>0</v>
      </c>
    </row>
    <row r="34" spans="1:17" ht="16.5">
      <c r="A34" s="81">
        <f t="shared" si="0"/>
        <v>14</v>
      </c>
      <c r="B34" s="17" t="s">
        <v>86</v>
      </c>
      <c r="C34" s="17"/>
      <c r="D34" s="17"/>
      <c r="E34" s="469">
        <f>+'C-4'!I86</f>
        <v>17723.532972350302</v>
      </c>
      <c r="F34" s="25"/>
      <c r="G34" s="460">
        <v>0</v>
      </c>
      <c r="H34" s="25"/>
      <c r="I34" s="459">
        <f t="shared" si="1"/>
        <v>17723.532972350302</v>
      </c>
      <c r="J34" s="25"/>
      <c r="K34" s="466">
        <f>+'C-4'!N86</f>
        <v>0.965379862061563</v>
      </c>
      <c r="L34" s="17"/>
      <c r="M34" s="459">
        <f t="shared" si="3"/>
        <v>17109.941816091097</v>
      </c>
      <c r="N34" s="25"/>
      <c r="O34" s="460">
        <v>0</v>
      </c>
      <c r="P34" s="25"/>
      <c r="Q34" s="459">
        <f>M34+O34</f>
        <v>17109.941816091097</v>
      </c>
    </row>
    <row r="35" spans="1:17" ht="16.5">
      <c r="A35" s="81">
        <f t="shared" si="0"/>
        <v>15</v>
      </c>
      <c r="B35" s="17" t="s">
        <v>87</v>
      </c>
      <c r="C35" s="17"/>
      <c r="D35" s="17"/>
      <c r="E35" s="469">
        <f>+'C-4'!I90+'C-4'!I91</f>
        <v>-169155.9030644787</v>
      </c>
      <c r="F35" s="25"/>
      <c r="G35" s="460">
        <v>0</v>
      </c>
      <c r="H35" s="25"/>
      <c r="I35" s="459">
        <f t="shared" si="1"/>
        <v>-169155.9030644787</v>
      </c>
      <c r="J35" s="25"/>
      <c r="K35" s="470">
        <f>M35/I35</f>
        <v>0.9544175637416155</v>
      </c>
      <c r="L35" s="17"/>
      <c r="M35" s="459">
        <f>'C-4'!K90+'C-4'!K91</f>
        <v>-161445.36489531264</v>
      </c>
      <c r="N35" s="25"/>
      <c r="O35" s="460">
        <v>0</v>
      </c>
      <c r="P35" s="25"/>
      <c r="Q35" s="459">
        <f t="shared" si="2"/>
        <v>-161445.36489531264</v>
      </c>
    </row>
    <row r="36" spans="1:17" ht="16.5">
      <c r="A36" s="81">
        <f t="shared" si="0"/>
        <v>16</v>
      </c>
      <c r="B36" s="17" t="s">
        <v>88</v>
      </c>
      <c r="C36" s="17"/>
      <c r="D36" s="17"/>
      <c r="E36" s="469">
        <f>+'C-4'!I92+'C-4'!I93</f>
        <v>135364.1871985</v>
      </c>
      <c r="F36" s="25"/>
      <c r="G36" s="460">
        <v>0</v>
      </c>
      <c r="H36" s="25"/>
      <c r="I36" s="459">
        <f t="shared" si="1"/>
        <v>135364.1871985</v>
      </c>
      <c r="J36" s="25"/>
      <c r="K36" s="470">
        <f>M36/I36</f>
        <v>0.9544175637416155</v>
      </c>
      <c r="L36" s="17"/>
      <c r="M36" s="459">
        <f>+'C-4'!K92+'C-4'!K93</f>
        <v>129193.95776385635</v>
      </c>
      <c r="N36" s="25"/>
      <c r="O36" s="460">
        <v>0</v>
      </c>
      <c r="P36" s="25"/>
      <c r="Q36" s="459">
        <f t="shared" si="2"/>
        <v>129193.95776385635</v>
      </c>
    </row>
    <row r="37" spans="1:17" ht="16.5">
      <c r="A37" s="81">
        <f t="shared" si="0"/>
        <v>17</v>
      </c>
      <c r="B37" s="16" t="s">
        <v>89</v>
      </c>
      <c r="C37" s="17"/>
      <c r="D37" s="17"/>
      <c r="E37" s="460">
        <v>0</v>
      </c>
      <c r="F37" s="25"/>
      <c r="G37" s="460">
        <v>0</v>
      </c>
      <c r="H37" s="25"/>
      <c r="I37" s="460">
        <f t="shared" si="1"/>
        <v>0</v>
      </c>
      <c r="J37" s="25"/>
      <c r="K37" s="466">
        <v>0</v>
      </c>
      <c r="L37" s="17"/>
      <c r="M37" s="460">
        <f t="shared" si="3"/>
        <v>0</v>
      </c>
      <c r="N37" s="25"/>
      <c r="O37" s="460">
        <v>0</v>
      </c>
      <c r="P37" s="25"/>
      <c r="Q37" s="460">
        <f t="shared" si="2"/>
        <v>0</v>
      </c>
    </row>
    <row r="38" spans="1:17" ht="16.5">
      <c r="A38" s="81">
        <f t="shared" si="0"/>
        <v>18</v>
      </c>
      <c r="B38" s="17" t="s">
        <v>90</v>
      </c>
      <c r="C38" s="17"/>
      <c r="D38" s="17"/>
      <c r="E38" s="460">
        <v>0</v>
      </c>
      <c r="F38" s="25"/>
      <c r="G38" s="460">
        <v>0</v>
      </c>
      <c r="H38" s="25"/>
      <c r="I38" s="460">
        <f t="shared" si="1"/>
        <v>0</v>
      </c>
      <c r="J38" s="25"/>
      <c r="K38" s="466">
        <v>0</v>
      </c>
      <c r="L38" s="17"/>
      <c r="M38" s="460">
        <f t="shared" si="3"/>
        <v>0</v>
      </c>
      <c r="N38" s="25"/>
      <c r="O38" s="460">
        <v>0</v>
      </c>
      <c r="P38" s="25"/>
      <c r="Q38" s="460">
        <f t="shared" si="2"/>
        <v>0</v>
      </c>
    </row>
    <row r="39" spans="1:17" ht="16.5">
      <c r="A39" s="81">
        <f t="shared" si="0"/>
        <v>19</v>
      </c>
      <c r="B39" s="17" t="s">
        <v>91</v>
      </c>
      <c r="C39" s="17"/>
      <c r="D39" s="17"/>
      <c r="E39" s="461">
        <f>SUM(E28:E38)</f>
        <v>35485.961148805276</v>
      </c>
      <c r="F39" s="25"/>
      <c r="G39" s="462">
        <f>SUM(G28:G38)</f>
        <v>0</v>
      </c>
      <c r="H39" s="25"/>
      <c r="I39" s="461">
        <f>SUM(I28:I38)</f>
        <v>35485.961148805276</v>
      </c>
      <c r="J39" s="25"/>
      <c r="K39" s="467">
        <f>IF(I39=0,0,M39/I39)</f>
        <v>0.9544175637416155</v>
      </c>
      <c r="L39" s="17"/>
      <c r="M39" s="461">
        <f>SUM(M28:M38)</f>
        <v>33868.42458667235</v>
      </c>
      <c r="N39" s="25"/>
      <c r="O39" s="462">
        <f>SUM(O28:O38)</f>
        <v>0</v>
      </c>
      <c r="P39" s="25"/>
      <c r="Q39" s="461">
        <f>SUM(Q28:Q38)</f>
        <v>33868.42458667235</v>
      </c>
    </row>
    <row r="40" spans="1:17" ht="16.5">
      <c r="A40" s="81">
        <f t="shared" si="0"/>
        <v>20</v>
      </c>
      <c r="B40" s="17"/>
      <c r="C40" s="17"/>
      <c r="D40" s="17"/>
      <c r="E40" s="27"/>
      <c r="F40" s="25"/>
      <c r="G40" s="463"/>
      <c r="H40" s="25"/>
      <c r="I40" s="25"/>
      <c r="J40" s="25"/>
      <c r="K40" s="468"/>
      <c r="L40" s="17"/>
      <c r="M40" s="25"/>
      <c r="N40" s="25"/>
      <c r="O40" s="463"/>
      <c r="P40" s="25"/>
      <c r="Q40" s="27"/>
    </row>
    <row r="41" spans="1:17" ht="17.25" thickBot="1">
      <c r="A41" s="81">
        <f t="shared" si="0"/>
        <v>21</v>
      </c>
      <c r="B41" s="17" t="s">
        <v>121</v>
      </c>
      <c r="C41" s="17"/>
      <c r="D41" s="17"/>
      <c r="E41" s="464">
        <f>E25-E39</f>
        <v>-35485.961148805276</v>
      </c>
      <c r="F41" s="25"/>
      <c r="G41" s="465">
        <f>G25-G39</f>
        <v>0</v>
      </c>
      <c r="H41" s="25"/>
      <c r="I41" s="464">
        <f>I25-I39</f>
        <v>-35485.961148805276</v>
      </c>
      <c r="J41" s="25"/>
      <c r="K41" s="471">
        <f>IF(I41=0,0,M41/I41)</f>
        <v>0.9544175637416155</v>
      </c>
      <c r="L41" s="17"/>
      <c r="M41" s="464">
        <f>M25-M39</f>
        <v>-33868.42458667235</v>
      </c>
      <c r="N41" s="25"/>
      <c r="O41" s="465">
        <f>O25-O39</f>
        <v>0</v>
      </c>
      <c r="P41" s="25"/>
      <c r="Q41" s="464">
        <f>Q25-Q39</f>
        <v>-33868.42458667235</v>
      </c>
    </row>
    <row r="42" spans="1:16" ht="17.25" thickTop="1">
      <c r="A42" s="81">
        <f t="shared" si="0"/>
        <v>22</v>
      </c>
      <c r="B42" s="79"/>
      <c r="C42" s="17"/>
      <c r="D42" s="17"/>
      <c r="E42" s="27"/>
      <c r="F42" s="25"/>
      <c r="G42" s="25"/>
      <c r="H42" s="25"/>
      <c r="I42" s="25"/>
      <c r="J42" s="25"/>
      <c r="K42" s="25"/>
      <c r="L42" s="17"/>
      <c r="M42" s="17"/>
      <c r="N42" s="17"/>
      <c r="O42" s="17"/>
      <c r="P42" s="17"/>
    </row>
    <row r="43" spans="1:16" ht="16.5">
      <c r="A43" s="81">
        <f t="shared" si="0"/>
        <v>23</v>
      </c>
      <c r="B43" s="79"/>
      <c r="C43" s="17"/>
      <c r="D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6.5">
      <c r="A44" s="81">
        <f t="shared" si="0"/>
        <v>24</v>
      </c>
      <c r="B44" s="17"/>
      <c r="C44" s="17"/>
      <c r="D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6.5">
      <c r="A45" s="81">
        <f t="shared" si="0"/>
        <v>25</v>
      </c>
      <c r="C45" s="17"/>
      <c r="D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6.5">
      <c r="A46" s="81">
        <f t="shared" si="0"/>
        <v>26</v>
      </c>
      <c r="C46" s="17"/>
      <c r="D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6.5">
      <c r="A47" s="81">
        <f t="shared" si="0"/>
        <v>27</v>
      </c>
      <c r="C47" s="17"/>
      <c r="D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6.5">
      <c r="A48" s="81">
        <f t="shared" si="0"/>
        <v>28</v>
      </c>
      <c r="C48" s="17"/>
      <c r="D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4" ht="16.5">
      <c r="A49" s="81">
        <f t="shared" si="0"/>
        <v>29</v>
      </c>
      <c r="B49" s="83"/>
      <c r="D49" s="17"/>
    </row>
    <row r="50" spans="1:2" ht="16.5">
      <c r="A50" s="81">
        <f t="shared" si="0"/>
        <v>30</v>
      </c>
      <c r="B50" s="114" t="s">
        <v>505</v>
      </c>
    </row>
    <row r="51" spans="1:16" ht="16.5">
      <c r="A51" s="81">
        <f t="shared" si="0"/>
        <v>31</v>
      </c>
      <c r="B51" s="39" t="s">
        <v>266</v>
      </c>
      <c r="C51" s="17"/>
      <c r="D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6.5">
      <c r="A52" s="81">
        <f t="shared" si="0"/>
        <v>32</v>
      </c>
      <c r="B52" s="48" t="s">
        <v>267</v>
      </c>
      <c r="C52" s="17"/>
      <c r="D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6.5">
      <c r="A53" s="81">
        <f t="shared" si="0"/>
        <v>33</v>
      </c>
      <c r="C53" s="17"/>
      <c r="D53" s="17"/>
      <c r="F53" s="17"/>
      <c r="G53" s="17"/>
      <c r="H53" s="17"/>
      <c r="I53" s="17"/>
      <c r="J53" s="17"/>
      <c r="L53" s="17"/>
      <c r="M53" s="17"/>
      <c r="N53" s="17"/>
      <c r="O53" s="17"/>
      <c r="P53" s="17"/>
    </row>
    <row r="54" spans="1:16" ht="16.5">
      <c r="A54" s="81">
        <f t="shared" si="0"/>
        <v>34</v>
      </c>
      <c r="C54" s="17"/>
      <c r="D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4" ht="16.5">
      <c r="A55" s="81">
        <f t="shared" si="0"/>
        <v>35</v>
      </c>
      <c r="D55" s="17"/>
    </row>
    <row r="56" spans="1:11" ht="16.5">
      <c r="A56" s="81">
        <f t="shared" si="0"/>
        <v>36</v>
      </c>
      <c r="K56" s="17"/>
    </row>
    <row r="57" spans="1:16" ht="16.5">
      <c r="A57" s="81">
        <f t="shared" si="0"/>
        <v>37</v>
      </c>
      <c r="C57" s="17"/>
      <c r="D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6.5">
      <c r="A58" s="81">
        <f t="shared" si="0"/>
        <v>38</v>
      </c>
      <c r="C58" s="17"/>
      <c r="D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6.5">
      <c r="A59" s="81">
        <f t="shared" si="0"/>
        <v>39</v>
      </c>
      <c r="C59" s="17"/>
      <c r="D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6.5">
      <c r="A60" s="81">
        <f t="shared" si="0"/>
        <v>40</v>
      </c>
      <c r="C60" s="17"/>
      <c r="D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6.5">
      <c r="A61" s="81"/>
      <c r="C61" s="17"/>
      <c r="D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ht="17.25" thickBot="1">
      <c r="T62" s="77"/>
    </row>
    <row r="63" spans="1:19" ht="16.5">
      <c r="A63" s="24" t="s">
        <v>13</v>
      </c>
      <c r="B63" s="24"/>
      <c r="C63" s="611" t="s">
        <v>92</v>
      </c>
      <c r="D63" s="612"/>
      <c r="E63" s="35" t="s">
        <v>93</v>
      </c>
      <c r="F63" s="35" t="s">
        <v>93</v>
      </c>
      <c r="G63" s="35"/>
      <c r="H63" s="35"/>
      <c r="I63" s="35"/>
      <c r="J63" s="35"/>
      <c r="K63" s="35"/>
      <c r="L63" s="35"/>
      <c r="M63" s="24"/>
      <c r="N63" s="24"/>
      <c r="O63" s="35"/>
      <c r="P63" s="35"/>
      <c r="Q63" s="84" t="s">
        <v>14</v>
      </c>
      <c r="R63" s="24"/>
      <c r="S63" s="35" t="s">
        <v>1</v>
      </c>
    </row>
  </sheetData>
  <sheetProtection/>
  <mergeCells count="2">
    <mergeCell ref="C63:D63"/>
    <mergeCell ref="B9:D10"/>
  </mergeCells>
  <printOptions horizontalCentered="1"/>
  <pageMargins left="0.5" right="0.5" top="0.75" bottom="0.5" header="0" footer="0"/>
  <pageSetup fitToHeight="1" fitToWidth="1" horizontalDpi="600" verticalDpi="600" orientation="landscape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X112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9.6640625" defaultRowHeight="15"/>
  <cols>
    <col min="1" max="1" width="11.4453125" style="140" customWidth="1"/>
    <col min="2" max="2" width="9.6640625" style="140" customWidth="1"/>
    <col min="3" max="3" width="3.10546875" style="140" customWidth="1"/>
    <col min="4" max="7" width="9.6640625" style="140" customWidth="1"/>
    <col min="8" max="8" width="26.21484375" style="140" customWidth="1"/>
    <col min="9" max="9" width="17.5546875" style="140" customWidth="1"/>
    <col min="10" max="10" width="3.77734375" style="140" customWidth="1"/>
    <col min="11" max="11" width="16.6640625" style="140" customWidth="1"/>
    <col min="12" max="12" width="2.10546875" style="140" customWidth="1"/>
    <col min="13" max="13" width="4.10546875" style="140" customWidth="1"/>
    <col min="14" max="14" width="12.21484375" style="201" bestFit="1" customWidth="1"/>
    <col min="15" max="16" width="10.6640625" style="140" customWidth="1"/>
    <col min="17" max="21" width="9.6640625" style="140" customWidth="1"/>
    <col min="22" max="22" width="22.3359375" style="140" customWidth="1"/>
    <col min="23" max="16384" width="9.6640625" style="140" customWidth="1"/>
  </cols>
  <sheetData>
    <row r="1" spans="1:14" s="623" customFormat="1" ht="15">
      <c r="A1" s="623" t="s">
        <v>578</v>
      </c>
      <c r="N1" s="624"/>
    </row>
    <row r="2" spans="1:14" s="623" customFormat="1" ht="15">
      <c r="A2" s="623" t="s">
        <v>571</v>
      </c>
      <c r="N2" s="624"/>
    </row>
    <row r="3" s="623" customFormat="1" ht="15">
      <c r="N3" s="624"/>
    </row>
    <row r="4" spans="1:18" ht="16.5">
      <c r="A4" s="137" t="s">
        <v>131</v>
      </c>
      <c r="B4" s="138"/>
      <c r="C4" s="137"/>
      <c r="D4" s="137"/>
      <c r="E4" s="138"/>
      <c r="F4" s="138"/>
      <c r="G4" s="138" t="s">
        <v>132</v>
      </c>
      <c r="H4" s="138"/>
      <c r="I4" s="138"/>
      <c r="J4" s="138"/>
      <c r="K4" s="138"/>
      <c r="L4" s="137"/>
      <c r="M4" s="137"/>
      <c r="N4" s="208"/>
      <c r="O4" s="139"/>
      <c r="P4" s="137"/>
      <c r="R4" s="148" t="s">
        <v>372</v>
      </c>
    </row>
    <row r="5" spans="1:18" ht="17.25" thickBot="1">
      <c r="A5" s="141" t="str">
        <f>+'A-1'!A5</f>
        <v>2019 Okeechobee Limited Scope Adjustment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208"/>
      <c r="O5" s="137"/>
      <c r="P5" s="137"/>
      <c r="Q5" s="137"/>
      <c r="R5" s="137"/>
    </row>
    <row r="6" spans="1:18" ht="16.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359"/>
      <c r="O6" s="142"/>
      <c r="P6" s="142"/>
      <c r="Q6" s="142"/>
      <c r="R6" s="142"/>
    </row>
    <row r="7" spans="1:18" ht="16.5">
      <c r="A7" s="137" t="s">
        <v>2</v>
      </c>
      <c r="B7" s="137"/>
      <c r="C7" s="137"/>
      <c r="D7" s="137"/>
      <c r="F7" s="137" t="s">
        <v>61</v>
      </c>
      <c r="G7" s="137"/>
      <c r="H7" s="138" t="s">
        <v>133</v>
      </c>
      <c r="I7" s="138"/>
      <c r="J7" s="138"/>
      <c r="K7" s="138"/>
      <c r="L7" s="137"/>
      <c r="M7" s="137"/>
      <c r="N7" s="208"/>
      <c r="O7" s="137" t="s">
        <v>5</v>
      </c>
      <c r="P7" s="137"/>
      <c r="Q7" s="137"/>
      <c r="R7" s="137"/>
    </row>
    <row r="8" spans="1:18" ht="16.5">
      <c r="A8" s="137"/>
      <c r="B8" s="137"/>
      <c r="C8" s="137"/>
      <c r="D8" s="137"/>
      <c r="G8" s="138"/>
      <c r="H8" s="143" t="s">
        <v>500</v>
      </c>
      <c r="I8" s="138"/>
      <c r="J8" s="138"/>
      <c r="K8" s="138"/>
      <c r="L8" s="137"/>
      <c r="M8" s="137"/>
      <c r="N8" s="208"/>
      <c r="O8" s="137"/>
      <c r="P8" s="137"/>
      <c r="Q8" s="137"/>
      <c r="R8" s="137"/>
    </row>
    <row r="9" spans="1:18" ht="16.5" customHeight="1">
      <c r="A9" s="16" t="s">
        <v>117</v>
      </c>
      <c r="B9" s="16" t="s">
        <v>347</v>
      </c>
      <c r="C9" s="115"/>
      <c r="D9" s="115"/>
      <c r="G9" s="138"/>
      <c r="H9" s="138"/>
      <c r="I9" s="138"/>
      <c r="J9" s="138"/>
      <c r="K9" s="138"/>
      <c r="L9" s="137"/>
      <c r="M9" s="137"/>
      <c r="N9" s="208"/>
      <c r="O9" s="141" t="s">
        <v>444</v>
      </c>
      <c r="P9" s="137"/>
      <c r="Q9" s="137"/>
      <c r="R9" s="137"/>
    </row>
    <row r="10" spans="1:18" ht="16.5">
      <c r="A10" s="16"/>
      <c r="B10" s="16" t="s">
        <v>348</v>
      </c>
      <c r="C10" s="115"/>
      <c r="D10" s="115"/>
      <c r="E10" s="138"/>
      <c r="F10" s="138"/>
      <c r="G10" s="138"/>
      <c r="H10" s="138"/>
      <c r="I10" s="138"/>
      <c r="J10" s="138"/>
      <c r="K10" s="138"/>
      <c r="L10" s="137"/>
      <c r="M10" s="137"/>
      <c r="N10" s="208"/>
      <c r="O10" s="137"/>
      <c r="P10" s="137"/>
      <c r="Q10" s="137"/>
      <c r="R10" s="137"/>
    </row>
    <row r="11" spans="1:18" ht="17.25">
      <c r="A11" s="16"/>
      <c r="B11" s="137"/>
      <c r="C11" s="137"/>
      <c r="D11" s="613"/>
      <c r="E11" s="613"/>
      <c r="F11" s="613"/>
      <c r="G11" s="138"/>
      <c r="H11" s="138"/>
      <c r="I11" s="138"/>
      <c r="J11" s="138"/>
      <c r="K11" s="138"/>
      <c r="L11" s="137"/>
      <c r="M11" s="137"/>
      <c r="N11" s="208"/>
      <c r="O11" s="20" t="s">
        <v>487</v>
      </c>
      <c r="P11" s="137"/>
      <c r="Q11" s="137"/>
      <c r="R11" s="137"/>
    </row>
    <row r="12" spans="1:18" ht="16.5">
      <c r="A12" s="45" t="str">
        <f>+'A-1'!A12</f>
        <v>DOCKET NO.: 160021-EI</v>
      </c>
      <c r="B12" s="137"/>
      <c r="C12" s="137"/>
      <c r="D12" s="137"/>
      <c r="E12" s="138"/>
      <c r="F12" s="138"/>
      <c r="G12" s="138"/>
      <c r="H12" s="138"/>
      <c r="I12" s="138"/>
      <c r="J12" s="138"/>
      <c r="K12" s="138"/>
      <c r="L12" s="137"/>
      <c r="M12" s="137"/>
      <c r="N12" s="208"/>
      <c r="O12" s="137" t="s">
        <v>284</v>
      </c>
      <c r="P12" s="137"/>
      <c r="Q12" s="137"/>
      <c r="R12" s="137"/>
    </row>
    <row r="13" spans="1:18" ht="17.25" thickBot="1">
      <c r="A13" s="137"/>
      <c r="B13" s="137"/>
      <c r="C13" s="137"/>
      <c r="D13" s="137"/>
      <c r="E13" s="138"/>
      <c r="F13" s="138"/>
      <c r="G13" s="138"/>
      <c r="H13" s="138"/>
      <c r="I13" s="138"/>
      <c r="J13" s="138"/>
      <c r="K13" s="138"/>
      <c r="L13" s="137"/>
      <c r="M13" s="137"/>
      <c r="N13" s="208"/>
      <c r="O13" s="137"/>
      <c r="P13" s="137"/>
      <c r="Q13" s="137"/>
      <c r="R13" s="137"/>
    </row>
    <row r="14" spans="1:18" ht="16.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359"/>
      <c r="O14" s="142"/>
      <c r="P14" s="142"/>
      <c r="Q14" s="142"/>
      <c r="R14" s="142"/>
    </row>
    <row r="15" spans="1:18" ht="16.5">
      <c r="A15" s="138"/>
      <c r="B15" s="138"/>
      <c r="C15" s="138"/>
      <c r="D15" s="138"/>
      <c r="E15" s="138"/>
      <c r="F15" s="138"/>
      <c r="G15" s="138"/>
      <c r="H15" s="138"/>
      <c r="I15" s="138"/>
      <c r="J15" s="187" t="s">
        <v>126</v>
      </c>
      <c r="K15" s="138"/>
      <c r="L15" s="138"/>
      <c r="M15" s="138"/>
      <c r="N15" s="360" t="s">
        <v>67</v>
      </c>
      <c r="P15" s="144"/>
      <c r="Q15" s="137"/>
      <c r="R15" s="137"/>
    </row>
    <row r="16" spans="1:18" ht="16.5">
      <c r="A16" s="145" t="s">
        <v>6</v>
      </c>
      <c r="B16" s="138" t="s">
        <v>134</v>
      </c>
      <c r="C16" s="138"/>
      <c r="D16" s="138"/>
      <c r="E16" s="145" t="s">
        <v>134</v>
      </c>
      <c r="F16" s="138"/>
      <c r="G16" s="138"/>
      <c r="I16" s="145" t="s">
        <v>66</v>
      </c>
      <c r="J16" s="138"/>
      <c r="K16" s="145" t="s">
        <v>135</v>
      </c>
      <c r="L16" s="138"/>
      <c r="M16" s="138"/>
      <c r="N16" s="361" t="s">
        <v>136</v>
      </c>
      <c r="P16" s="144"/>
      <c r="Q16" s="137"/>
      <c r="R16" s="137"/>
    </row>
    <row r="17" spans="1:18" ht="16.5">
      <c r="A17" s="145" t="s">
        <v>48</v>
      </c>
      <c r="B17" s="138" t="s">
        <v>48</v>
      </c>
      <c r="C17" s="138"/>
      <c r="D17" s="138"/>
      <c r="E17" s="145" t="s">
        <v>137</v>
      </c>
      <c r="F17" s="138"/>
      <c r="G17" s="138"/>
      <c r="I17" s="145" t="s">
        <v>138</v>
      </c>
      <c r="K17" s="145" t="s">
        <v>67</v>
      </c>
      <c r="L17" s="138"/>
      <c r="M17" s="138"/>
      <c r="N17" s="361" t="s">
        <v>74</v>
      </c>
      <c r="P17" s="146"/>
      <c r="Q17" s="137"/>
      <c r="R17" s="137"/>
    </row>
    <row r="18" spans="1:18" ht="17.25" thickBot="1">
      <c r="A18" s="444"/>
      <c r="B18" s="138"/>
      <c r="C18" s="138"/>
      <c r="D18" s="138"/>
      <c r="E18" s="138"/>
      <c r="F18" s="138"/>
      <c r="G18" s="138"/>
      <c r="H18" s="138"/>
      <c r="I18" s="187" t="s">
        <v>63</v>
      </c>
      <c r="J18" s="138"/>
      <c r="K18" s="187" t="s">
        <v>63</v>
      </c>
      <c r="L18" s="138"/>
      <c r="M18" s="138"/>
      <c r="N18" s="200"/>
      <c r="O18" s="138"/>
      <c r="P18" s="137"/>
      <c r="Q18" s="137"/>
      <c r="R18" s="137"/>
    </row>
    <row r="19" spans="1:18" ht="16.5">
      <c r="A19" s="445">
        <v>1</v>
      </c>
      <c r="B19" s="147"/>
      <c r="C19" s="147"/>
      <c r="D19" s="147" t="s">
        <v>139</v>
      </c>
      <c r="E19" s="147"/>
      <c r="F19" s="147"/>
      <c r="G19" s="147"/>
      <c r="H19" s="147"/>
      <c r="I19" s="147"/>
      <c r="J19" s="147"/>
      <c r="K19" s="147"/>
      <c r="L19" s="147"/>
      <c r="M19" s="147"/>
      <c r="N19" s="362"/>
      <c r="O19" s="147"/>
      <c r="P19" s="142"/>
      <c r="Q19" s="142"/>
      <c r="R19" s="142"/>
    </row>
    <row r="20" spans="1:18" ht="16.5">
      <c r="A20" s="145">
        <v>2</v>
      </c>
      <c r="B20" s="2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200"/>
      <c r="O20" s="200"/>
      <c r="P20" s="208"/>
      <c r="Q20" s="137"/>
      <c r="R20" s="137"/>
    </row>
    <row r="21" spans="1:18" ht="16.5">
      <c r="A21" s="145">
        <f>+A20+1</f>
        <v>3</v>
      </c>
      <c r="B21" s="27" t="s">
        <v>140</v>
      </c>
      <c r="C21" s="16"/>
      <c r="D21" s="16" t="s">
        <v>141</v>
      </c>
      <c r="E21" s="16"/>
      <c r="F21" s="16"/>
      <c r="G21" s="16"/>
      <c r="H21" s="37"/>
      <c r="I21" s="46">
        <f>'C-20 Support'!E49/1000</f>
        <v>1457.812690202066</v>
      </c>
      <c r="J21" s="16"/>
      <c r="K21" s="37">
        <f>+I21*N21</f>
        <v>1386.7935041093208</v>
      </c>
      <c r="L21" s="16"/>
      <c r="M21" s="16"/>
      <c r="N21" s="435">
        <f>+'Juris Factors'!D17</f>
        <v>0.9512837372249096</v>
      </c>
      <c r="O21" s="200"/>
      <c r="P21" s="208"/>
      <c r="Q21" s="137"/>
      <c r="R21" s="137"/>
    </row>
    <row r="22" spans="1:18" ht="16.5">
      <c r="A22" s="145">
        <f aca="true" t="shared" si="0" ref="A22:A51">+A21+1</f>
        <v>4</v>
      </c>
      <c r="B22" s="27" t="s">
        <v>142</v>
      </c>
      <c r="C22" s="16"/>
      <c r="D22" s="16" t="s">
        <v>143</v>
      </c>
      <c r="E22" s="16"/>
      <c r="F22" s="16"/>
      <c r="G22" s="16"/>
      <c r="H22" s="37"/>
      <c r="I22" s="46">
        <f>'C-20 Support'!E50/1000</f>
        <v>954.2674795270375</v>
      </c>
      <c r="J22" s="16"/>
      <c r="K22" s="37">
        <f aca="true" t="shared" si="1" ref="K22:K27">+I22*N22</f>
        <v>907.7791342366751</v>
      </c>
      <c r="L22" s="16"/>
      <c r="M22" s="16"/>
      <c r="N22" s="435">
        <f>+'Juris Factors'!D18</f>
        <v>0.9512837372249096</v>
      </c>
      <c r="O22" s="200"/>
      <c r="P22" s="208"/>
      <c r="Q22" s="137"/>
      <c r="R22" s="137"/>
    </row>
    <row r="23" spans="1:18" ht="16.5">
      <c r="A23" s="145">
        <f t="shared" si="0"/>
        <v>5</v>
      </c>
      <c r="B23" s="27" t="s">
        <v>144</v>
      </c>
      <c r="C23" s="16"/>
      <c r="D23" s="16" t="s">
        <v>145</v>
      </c>
      <c r="E23" s="16"/>
      <c r="F23" s="16"/>
      <c r="G23" s="16"/>
      <c r="H23" s="37"/>
      <c r="I23" s="46">
        <f>'C-20 Support'!E51/1000</f>
        <v>1220.027869555724</v>
      </c>
      <c r="J23" s="16"/>
      <c r="K23" s="37">
        <f t="shared" si="1"/>
        <v>1160.5926712695136</v>
      </c>
      <c r="L23" s="16"/>
      <c r="M23" s="16"/>
      <c r="N23" s="435">
        <f>+'Juris Factors'!D19</f>
        <v>0.9512837372249096</v>
      </c>
      <c r="O23" s="200"/>
      <c r="P23" s="208"/>
      <c r="Q23" s="137"/>
      <c r="R23" s="137"/>
    </row>
    <row r="24" spans="1:18" ht="16.5">
      <c r="A24" s="145">
        <f t="shared" si="0"/>
        <v>6</v>
      </c>
      <c r="B24" s="27" t="s">
        <v>146</v>
      </c>
      <c r="C24" s="16"/>
      <c r="D24" s="16" t="s">
        <v>147</v>
      </c>
      <c r="E24" s="16"/>
      <c r="F24" s="16"/>
      <c r="G24" s="16"/>
      <c r="H24" s="37"/>
      <c r="I24" s="46">
        <f>'C-20 Support'!E52/1000</f>
        <v>530.2857765779387</v>
      </c>
      <c r="J24" s="16"/>
      <c r="K24" s="37">
        <f t="shared" si="1"/>
        <v>503.0605101442727</v>
      </c>
      <c r="L24" s="16"/>
      <c r="M24" s="16"/>
      <c r="N24" s="435">
        <f>+'Juris Factors'!D20</f>
        <v>0.9486592557519511</v>
      </c>
      <c r="O24" s="200"/>
      <c r="P24" s="208"/>
      <c r="Q24" s="137"/>
      <c r="R24" s="137"/>
    </row>
    <row r="25" spans="1:18" ht="16.5">
      <c r="A25" s="145">
        <f t="shared" si="0"/>
        <v>7</v>
      </c>
      <c r="B25" s="27" t="s">
        <v>148</v>
      </c>
      <c r="C25" s="16"/>
      <c r="D25" s="16" t="s">
        <v>149</v>
      </c>
      <c r="E25" s="16"/>
      <c r="F25" s="16"/>
      <c r="G25" s="16"/>
      <c r="H25" s="37"/>
      <c r="I25" s="46">
        <f>'C-20 Support'!E53/1000</f>
        <v>261.4074292735346</v>
      </c>
      <c r="J25" s="16"/>
      <c r="K25" s="37">
        <f t="shared" si="1"/>
        <v>248.67263625768422</v>
      </c>
      <c r="L25" s="16"/>
      <c r="M25" s="16"/>
      <c r="N25" s="435">
        <f>+'Juris Factors'!D21</f>
        <v>0.9512837372249096</v>
      </c>
      <c r="O25" s="200"/>
      <c r="P25" s="208"/>
      <c r="Q25" s="137"/>
      <c r="R25" s="137"/>
    </row>
    <row r="26" spans="1:18" ht="16.5">
      <c r="A26" s="145">
        <f t="shared" si="0"/>
        <v>8</v>
      </c>
      <c r="B26" s="27" t="s">
        <v>150</v>
      </c>
      <c r="C26" s="16"/>
      <c r="D26" s="16" t="s">
        <v>151</v>
      </c>
      <c r="E26" s="16"/>
      <c r="F26" s="16"/>
      <c r="G26" s="16"/>
      <c r="H26" s="37"/>
      <c r="I26" s="46">
        <f>'C-20 Support'!E54/1000</f>
        <v>1419.3996237554927</v>
      </c>
      <c r="J26" s="16"/>
      <c r="K26" s="37">
        <f t="shared" si="1"/>
        <v>1346.5265906864852</v>
      </c>
      <c r="L26" s="16"/>
      <c r="M26" s="16"/>
      <c r="N26" s="435">
        <f>+'Juris Factors'!D22</f>
        <v>0.9486592557519511</v>
      </c>
      <c r="O26" s="200"/>
      <c r="P26" s="208"/>
      <c r="Q26" s="137"/>
      <c r="R26" s="137"/>
    </row>
    <row r="27" spans="1:18" ht="16.5">
      <c r="A27" s="145">
        <f t="shared" si="0"/>
        <v>9</v>
      </c>
      <c r="B27" s="27" t="s">
        <v>152</v>
      </c>
      <c r="C27" s="16"/>
      <c r="D27" s="16" t="s">
        <v>153</v>
      </c>
      <c r="E27" s="16"/>
      <c r="F27" s="16"/>
      <c r="G27" s="16"/>
      <c r="H27" s="37"/>
      <c r="I27" s="46">
        <f>'C-20 Support'!E55/1000</f>
        <v>170.08647939503035</v>
      </c>
      <c r="J27" s="16"/>
      <c r="K27" s="37">
        <f t="shared" si="1"/>
        <v>161.35411295635905</v>
      </c>
      <c r="L27" s="16"/>
      <c r="M27" s="16"/>
      <c r="N27" s="435">
        <f>+'Juris Factors'!D23</f>
        <v>0.9486592557519511</v>
      </c>
      <c r="O27" s="200"/>
      <c r="P27" s="208"/>
      <c r="Q27" s="137"/>
      <c r="R27" s="137"/>
    </row>
    <row r="28" spans="1:18" ht="16.5">
      <c r="A28" s="145">
        <f t="shared" si="0"/>
        <v>10</v>
      </c>
      <c r="B28" s="27"/>
      <c r="C28" s="16"/>
      <c r="D28" s="16" t="s">
        <v>374</v>
      </c>
      <c r="E28" s="16"/>
      <c r="F28" s="16"/>
      <c r="G28" s="16"/>
      <c r="H28" s="37"/>
      <c r="I28" s="185">
        <f>SUM(I21:I27)</f>
        <v>6013.287348286824</v>
      </c>
      <c r="J28" s="16"/>
      <c r="K28" s="185">
        <f>SUM(K21:K27)</f>
        <v>5714.779159660311</v>
      </c>
      <c r="L28" s="16"/>
      <c r="M28" s="16"/>
      <c r="N28" s="436">
        <f>+K28/I28</f>
        <v>0.9503585690593086</v>
      </c>
      <c r="O28" s="200"/>
      <c r="P28" s="208"/>
      <c r="Q28" s="137"/>
      <c r="R28" s="137"/>
    </row>
    <row r="29" spans="1:18" ht="16.5">
      <c r="A29" s="145">
        <f t="shared" si="0"/>
        <v>11</v>
      </c>
      <c r="B29" s="138"/>
      <c r="C29" s="138"/>
      <c r="D29" s="138"/>
      <c r="E29" s="138"/>
      <c r="F29" s="138"/>
      <c r="G29" s="138"/>
      <c r="H29" s="138"/>
      <c r="I29" s="200"/>
      <c r="J29" s="200"/>
      <c r="K29" s="200"/>
      <c r="L29" s="200"/>
      <c r="M29" s="200"/>
      <c r="N29" s="200"/>
      <c r="O29" s="138"/>
      <c r="P29" s="137"/>
      <c r="Q29" s="137"/>
      <c r="R29" s="137"/>
    </row>
    <row r="30" spans="1:21" ht="16.5">
      <c r="A30" s="145">
        <f t="shared" si="0"/>
        <v>12</v>
      </c>
      <c r="B30" s="309" t="s">
        <v>154</v>
      </c>
      <c r="C30" s="61"/>
      <c r="D30" s="61" t="s">
        <v>130</v>
      </c>
      <c r="G30" s="138"/>
      <c r="H30" s="138"/>
      <c r="I30" s="310">
        <v>0</v>
      </c>
      <c r="J30" s="310"/>
      <c r="K30" s="327">
        <f>+I30*N30</f>
        <v>0</v>
      </c>
      <c r="L30" s="310"/>
      <c r="M30" s="310"/>
      <c r="N30" s="310">
        <v>0</v>
      </c>
      <c r="P30" s="208"/>
      <c r="Q30" s="208"/>
      <c r="R30" s="208"/>
      <c r="S30" s="201"/>
      <c r="T30" s="201"/>
      <c r="U30" s="200"/>
    </row>
    <row r="31" spans="1:18" ht="16.5">
      <c r="A31" s="145">
        <f t="shared" si="0"/>
        <v>13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200"/>
      <c r="O31" s="138"/>
      <c r="P31" s="137"/>
      <c r="Q31" s="137"/>
      <c r="R31" s="137"/>
    </row>
    <row r="32" spans="1:18" ht="16.5">
      <c r="A32" s="145">
        <f t="shared" si="0"/>
        <v>14</v>
      </c>
      <c r="B32" s="138"/>
      <c r="C32" s="138"/>
      <c r="D32" s="16" t="s">
        <v>156</v>
      </c>
      <c r="E32" s="138"/>
      <c r="F32" s="138"/>
      <c r="G32" s="138"/>
      <c r="H32" s="138"/>
      <c r="I32" s="138"/>
      <c r="J32" s="138"/>
      <c r="K32" s="138"/>
      <c r="L32" s="138"/>
      <c r="M32" s="138"/>
      <c r="N32" s="200"/>
      <c r="O32" s="138"/>
      <c r="P32" s="137"/>
      <c r="Q32" s="137"/>
      <c r="R32" s="137"/>
    </row>
    <row r="33" spans="1:18" ht="16.5">
      <c r="A33" s="145">
        <f t="shared" si="0"/>
        <v>15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200"/>
      <c r="O33" s="138"/>
      <c r="P33" s="137"/>
      <c r="Q33" s="137"/>
      <c r="R33" s="137"/>
    </row>
    <row r="34" spans="1:18" ht="16.5">
      <c r="A34" s="145">
        <f t="shared" si="0"/>
        <v>16</v>
      </c>
      <c r="B34" s="184" t="s">
        <v>157</v>
      </c>
      <c r="C34" s="20"/>
      <c r="D34" s="20" t="s">
        <v>158</v>
      </c>
      <c r="E34" s="20"/>
      <c r="F34" s="20"/>
      <c r="G34" s="138"/>
      <c r="H34" s="138"/>
      <c r="I34" s="199">
        <v>2000</v>
      </c>
      <c r="J34" s="138"/>
      <c r="K34" s="199">
        <f>+I34*N34</f>
        <v>1927.0156820789757</v>
      </c>
      <c r="L34" s="138"/>
      <c r="M34" s="138"/>
      <c r="N34" s="437">
        <f>+'Juris Factors'!D25</f>
        <v>0.9635078410394878</v>
      </c>
      <c r="O34" s="138"/>
      <c r="P34" s="137"/>
      <c r="Q34" s="137"/>
      <c r="R34" s="137"/>
    </row>
    <row r="35" spans="1:18" ht="16.5">
      <c r="A35" s="145">
        <f t="shared" si="0"/>
        <v>17</v>
      </c>
      <c r="B35" s="27" t="s">
        <v>159</v>
      </c>
      <c r="C35" s="16"/>
      <c r="D35" s="16" t="s">
        <v>160</v>
      </c>
      <c r="E35" s="16"/>
      <c r="F35" s="138"/>
      <c r="G35" s="138"/>
      <c r="H35" s="138"/>
      <c r="I35" s="199">
        <f>'C-20 Support'!E17/1000</f>
        <v>15.04972289685214</v>
      </c>
      <c r="J35" s="138"/>
      <c r="K35" s="199">
        <f>+I35*N35</f>
        <v>14.571205416289056</v>
      </c>
      <c r="L35" s="138"/>
      <c r="M35" s="138"/>
      <c r="N35" s="437">
        <f>+'Juris Factors'!D26</f>
        <v>0.9682042331381946</v>
      </c>
      <c r="O35" s="138"/>
      <c r="P35" s="137"/>
      <c r="Q35" s="241"/>
      <c r="R35" s="137"/>
    </row>
    <row r="36" spans="1:18" ht="16.5">
      <c r="A36" s="145">
        <f t="shared" si="0"/>
        <v>18</v>
      </c>
      <c r="B36" s="27" t="s">
        <v>161</v>
      </c>
      <c r="C36" s="16"/>
      <c r="D36" s="16" t="s">
        <v>162</v>
      </c>
      <c r="E36" s="16"/>
      <c r="F36" s="138"/>
      <c r="G36" s="138"/>
      <c r="H36" s="138"/>
      <c r="I36" s="280">
        <f>'C-20 Support'!E18/1000</f>
        <v>256.6105293937839</v>
      </c>
      <c r="J36" s="61"/>
      <c r="K36" s="280">
        <f>+I36*N36</f>
        <v>248.45140082689468</v>
      </c>
      <c r="L36" s="16"/>
      <c r="M36" s="16"/>
      <c r="N36" s="435">
        <f>+'Juris Factors'!D27</f>
        <v>0.9682042331381946</v>
      </c>
      <c r="O36" s="138"/>
      <c r="P36" s="137"/>
      <c r="Q36" s="241"/>
      <c r="R36" s="137"/>
    </row>
    <row r="37" spans="1:18" ht="16.5">
      <c r="A37" s="145">
        <f t="shared" si="0"/>
        <v>19</v>
      </c>
      <c r="B37" s="138"/>
      <c r="C37" s="138"/>
      <c r="D37" s="16" t="s">
        <v>156</v>
      </c>
      <c r="E37" s="138"/>
      <c r="F37" s="138"/>
      <c r="G37" s="138"/>
      <c r="H37" s="138"/>
      <c r="I37" s="185">
        <f>SUM(I34:I36)</f>
        <v>2271.660252290636</v>
      </c>
      <c r="J37" s="16"/>
      <c r="K37" s="185">
        <f>SUM(K34:K36)</f>
        <v>2190.0382883221596</v>
      </c>
      <c r="L37" s="16"/>
      <c r="M37" s="16"/>
      <c r="N37" s="436">
        <f>+K37/I37</f>
        <v>0.964069466864082</v>
      </c>
      <c r="O37" s="138"/>
      <c r="P37" s="137"/>
      <c r="Q37" s="137"/>
      <c r="R37" s="137"/>
    </row>
    <row r="38" spans="1:18" ht="16.5">
      <c r="A38" s="145">
        <f t="shared" si="0"/>
        <v>20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438"/>
      <c r="O38" s="138"/>
      <c r="P38" s="137"/>
      <c r="Q38" s="137"/>
      <c r="R38" s="137"/>
    </row>
    <row r="39" spans="1:18" ht="16.5">
      <c r="A39" s="145">
        <f t="shared" si="0"/>
        <v>21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438"/>
      <c r="O39" s="138"/>
      <c r="P39" s="137"/>
      <c r="Q39" s="137"/>
      <c r="R39" s="137"/>
    </row>
    <row r="40" spans="1:18" ht="16.5">
      <c r="A40" s="145">
        <f t="shared" si="0"/>
        <v>22</v>
      </c>
      <c r="B40" s="138"/>
      <c r="C40" s="138"/>
      <c r="D40" s="16" t="s">
        <v>163</v>
      </c>
      <c r="E40" s="16"/>
      <c r="F40" s="138"/>
      <c r="G40" s="138"/>
      <c r="H40" s="138"/>
      <c r="I40" s="185">
        <f>+I28+I30+I37</f>
        <v>8284.94760057746</v>
      </c>
      <c r="J40" s="16"/>
      <c r="K40" s="185">
        <f>+K28+K30+K37</f>
        <v>7904.81744798247</v>
      </c>
      <c r="L40" s="16"/>
      <c r="M40" s="16"/>
      <c r="N40" s="436">
        <f>+K40/I40</f>
        <v>0.9541179774548612</v>
      </c>
      <c r="O40" s="138"/>
      <c r="P40" s="137"/>
      <c r="Q40" s="137"/>
      <c r="R40" s="137"/>
    </row>
    <row r="41" spans="1:18" ht="16.5">
      <c r="A41" s="145">
        <f t="shared" si="0"/>
        <v>23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438"/>
      <c r="O41" s="138"/>
      <c r="P41" s="137"/>
      <c r="Q41" s="137"/>
      <c r="R41" s="137"/>
    </row>
    <row r="42" spans="1:18" ht="16.5">
      <c r="A42" s="145">
        <f t="shared" si="0"/>
        <v>24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438"/>
      <c r="O42" s="138"/>
      <c r="P42" s="137"/>
      <c r="Q42" s="137"/>
      <c r="R42" s="137"/>
    </row>
    <row r="43" spans="1:18" ht="16.5">
      <c r="A43" s="145">
        <f t="shared" si="0"/>
        <v>25</v>
      </c>
      <c r="B43" s="27"/>
      <c r="C43" s="16"/>
      <c r="D43" s="16" t="s">
        <v>165</v>
      </c>
      <c r="E43" s="16"/>
      <c r="F43" s="16"/>
      <c r="G43" s="16"/>
      <c r="H43" s="138"/>
      <c r="I43" s="138"/>
      <c r="J43" s="138"/>
      <c r="K43" s="138"/>
      <c r="L43" s="138"/>
      <c r="M43" s="138"/>
      <c r="N43" s="438"/>
      <c r="O43" s="138"/>
      <c r="P43" s="137"/>
      <c r="Q43" s="137"/>
      <c r="R43" s="137"/>
    </row>
    <row r="44" spans="1:18" ht="16.5">
      <c r="A44" s="145">
        <f t="shared" si="0"/>
        <v>26</v>
      </c>
      <c r="B44" s="27"/>
      <c r="C44" s="16"/>
      <c r="D44" s="16"/>
      <c r="E44" s="16"/>
      <c r="F44" s="16"/>
      <c r="G44" s="16"/>
      <c r="H44" s="138"/>
      <c r="I44" s="138"/>
      <c r="J44" s="138"/>
      <c r="K44" s="138"/>
      <c r="L44" s="138"/>
      <c r="M44" s="138"/>
      <c r="N44" s="438"/>
      <c r="O44" s="138"/>
      <c r="P44" s="137"/>
      <c r="Q44" s="137"/>
      <c r="R44" s="137"/>
    </row>
    <row r="45" spans="1:18" ht="16.5">
      <c r="A45" s="145">
        <f t="shared" si="0"/>
        <v>27</v>
      </c>
      <c r="B45" s="27" t="s">
        <v>164</v>
      </c>
      <c r="C45" s="16"/>
      <c r="D45" s="16" t="s">
        <v>386</v>
      </c>
      <c r="E45" s="16"/>
      <c r="F45" s="16"/>
      <c r="G45" s="16"/>
      <c r="H45" s="138"/>
      <c r="I45" s="199">
        <f>+'B-10 '!Q25</f>
        <v>41298.22386560211</v>
      </c>
      <c r="J45" s="138"/>
      <c r="K45" s="199">
        <f>+I45*N45</f>
        <v>39286.32873962092</v>
      </c>
      <c r="L45" s="138"/>
      <c r="M45" s="138"/>
      <c r="N45" s="437">
        <f>+'Juris Factors'!D30</f>
        <v>0.9512837372249096</v>
      </c>
      <c r="O45" s="138"/>
      <c r="P45" s="137"/>
      <c r="Q45" s="241"/>
      <c r="R45" s="137"/>
    </row>
    <row r="46" spans="1:18" ht="16.5">
      <c r="A46" s="145">
        <f t="shared" si="0"/>
        <v>28</v>
      </c>
      <c r="B46" s="27"/>
      <c r="C46" s="16"/>
      <c r="D46" s="16" t="s">
        <v>165</v>
      </c>
      <c r="E46" s="16"/>
      <c r="F46" s="16"/>
      <c r="G46" s="16"/>
      <c r="H46" s="138"/>
      <c r="I46" s="185">
        <f>SUM(I45:I45)</f>
        <v>41298.22386560211</v>
      </c>
      <c r="J46" s="16"/>
      <c r="K46" s="185">
        <f>SUM(K45:K45)</f>
        <v>39286.32873962092</v>
      </c>
      <c r="L46" s="16"/>
      <c r="M46" s="16"/>
      <c r="N46" s="436">
        <f>+K46/I46</f>
        <v>0.9512837372249094</v>
      </c>
      <c r="O46" s="138"/>
      <c r="P46" s="137"/>
      <c r="Q46" s="137"/>
      <c r="R46" s="137"/>
    </row>
    <row r="47" spans="1:18" ht="16.5">
      <c r="A47" s="145">
        <f t="shared" si="0"/>
        <v>29</v>
      </c>
      <c r="B47" s="27"/>
      <c r="C47" s="16"/>
      <c r="D47" s="16"/>
      <c r="E47" s="16"/>
      <c r="F47" s="16"/>
      <c r="G47" s="16"/>
      <c r="H47" s="138"/>
      <c r="I47" s="186"/>
      <c r="J47" s="16"/>
      <c r="K47" s="186"/>
      <c r="L47" s="16"/>
      <c r="M47" s="16"/>
      <c r="N47" s="443"/>
      <c r="O47" s="138"/>
      <c r="P47" s="137"/>
      <c r="Q47" s="137"/>
      <c r="R47" s="137"/>
    </row>
    <row r="48" spans="1:18" ht="16.5">
      <c r="A48" s="145">
        <f t="shared" si="0"/>
        <v>30</v>
      </c>
      <c r="B48" s="27"/>
      <c r="C48" s="16"/>
      <c r="D48" s="16"/>
      <c r="E48" s="16"/>
      <c r="F48" s="16"/>
      <c r="G48" s="16"/>
      <c r="H48" s="138"/>
      <c r="I48" s="186"/>
      <c r="J48" s="16"/>
      <c r="K48" s="186"/>
      <c r="L48" s="16"/>
      <c r="M48" s="16"/>
      <c r="N48" s="443"/>
      <c r="O48" s="138"/>
      <c r="P48" s="137"/>
      <c r="Q48" s="137"/>
      <c r="R48" s="137"/>
    </row>
    <row r="49" spans="1:18" ht="16.5">
      <c r="A49" s="145">
        <f t="shared" si="0"/>
        <v>31</v>
      </c>
      <c r="B49" s="27"/>
      <c r="C49" s="16"/>
      <c r="D49" s="16"/>
      <c r="E49" s="16"/>
      <c r="F49" s="16"/>
      <c r="G49" s="16"/>
      <c r="H49" s="138"/>
      <c r="I49" s="186"/>
      <c r="J49" s="16"/>
      <c r="K49" s="186"/>
      <c r="L49" s="16"/>
      <c r="M49" s="16"/>
      <c r="N49" s="443"/>
      <c r="O49" s="138"/>
      <c r="P49" s="137"/>
      <c r="Q49" s="137"/>
      <c r="R49" s="137"/>
    </row>
    <row r="50" spans="1:18" ht="16.5">
      <c r="A50" s="145">
        <f t="shared" si="0"/>
        <v>32</v>
      </c>
      <c r="B50" s="27"/>
      <c r="C50" s="16"/>
      <c r="D50" s="16"/>
      <c r="E50" s="16"/>
      <c r="F50" s="16"/>
      <c r="G50" s="16"/>
      <c r="H50" s="138"/>
      <c r="I50" s="186"/>
      <c r="J50" s="16"/>
      <c r="K50" s="186"/>
      <c r="L50" s="16"/>
      <c r="M50" s="16"/>
      <c r="N50" s="443"/>
      <c r="O50" s="138"/>
      <c r="P50" s="137"/>
      <c r="Q50" s="137"/>
      <c r="R50" s="137"/>
    </row>
    <row r="51" spans="1:18" ht="16.5">
      <c r="A51" s="145">
        <f t="shared" si="0"/>
        <v>33</v>
      </c>
      <c r="B51" s="27"/>
      <c r="C51" s="16"/>
      <c r="D51" s="16"/>
      <c r="E51" s="16"/>
      <c r="F51" s="16"/>
      <c r="G51" s="16"/>
      <c r="H51" s="138"/>
      <c r="I51" s="186"/>
      <c r="J51" s="16"/>
      <c r="K51" s="186"/>
      <c r="L51" s="16"/>
      <c r="M51" s="16"/>
      <c r="N51" s="443"/>
      <c r="O51" s="138"/>
      <c r="P51" s="137"/>
      <c r="Q51" s="137"/>
      <c r="R51" s="137"/>
    </row>
    <row r="52" spans="1:18" ht="17.25" thickBo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208"/>
      <c r="O52" s="137"/>
      <c r="P52" s="137"/>
      <c r="Q52" s="137"/>
      <c r="R52" s="137"/>
    </row>
    <row r="53" spans="1:18" ht="16.5">
      <c r="A53" s="142" t="s">
        <v>13</v>
      </c>
      <c r="B53" s="142"/>
      <c r="C53" s="142"/>
      <c r="D53" s="147" t="s">
        <v>287</v>
      </c>
      <c r="E53" s="147"/>
      <c r="F53" s="147"/>
      <c r="G53" s="147"/>
      <c r="H53" s="147"/>
      <c r="I53" s="147"/>
      <c r="J53" s="147"/>
      <c r="K53" s="147"/>
      <c r="L53" s="142" t="s">
        <v>14</v>
      </c>
      <c r="M53" s="142"/>
      <c r="N53" s="362" t="s">
        <v>155</v>
      </c>
      <c r="O53" s="147"/>
      <c r="P53" s="142"/>
      <c r="Q53" s="142"/>
      <c r="R53" s="142"/>
    </row>
    <row r="54" spans="1:18" ht="16.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208"/>
      <c r="O54" s="137"/>
      <c r="P54" s="137"/>
      <c r="Q54" s="137"/>
      <c r="R54" s="137"/>
    </row>
    <row r="55" spans="1:18" ht="16.5">
      <c r="A55" s="137" t="s">
        <v>131</v>
      </c>
      <c r="B55" s="138"/>
      <c r="C55" s="137"/>
      <c r="D55" s="137"/>
      <c r="E55" s="138"/>
      <c r="F55" s="138"/>
      <c r="G55" s="138" t="s">
        <v>132</v>
      </c>
      <c r="H55" s="138"/>
      <c r="I55" s="138"/>
      <c r="J55" s="138"/>
      <c r="K55" s="138"/>
      <c r="L55" s="137"/>
      <c r="M55" s="137"/>
      <c r="N55" s="208"/>
      <c r="O55" s="139"/>
      <c r="P55" s="137"/>
      <c r="R55" s="148" t="s">
        <v>349</v>
      </c>
    </row>
    <row r="56" spans="1:18" ht="17.25" thickBot="1">
      <c r="A56" s="141" t="str">
        <f>+'A-1'!A5</f>
        <v>2019 Okeechobee Limited Scope Adjustment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208"/>
      <c r="O56" s="137"/>
      <c r="P56" s="137"/>
      <c r="Q56" s="137"/>
      <c r="R56" s="137"/>
    </row>
    <row r="57" spans="1:18" ht="16.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359"/>
      <c r="O57" s="142"/>
      <c r="P57" s="142"/>
      <c r="Q57" s="142"/>
      <c r="R57" s="142"/>
    </row>
    <row r="58" spans="1:18" ht="16.5">
      <c r="A58" s="137" t="s">
        <v>2</v>
      </c>
      <c r="B58" s="137"/>
      <c r="C58" s="137"/>
      <c r="D58" s="137"/>
      <c r="F58" s="137" t="s">
        <v>61</v>
      </c>
      <c r="G58" s="137"/>
      <c r="H58" s="138" t="s">
        <v>133</v>
      </c>
      <c r="I58" s="138"/>
      <c r="J58" s="138"/>
      <c r="K58" s="138"/>
      <c r="L58" s="137"/>
      <c r="M58" s="137"/>
      <c r="N58" s="208"/>
      <c r="O58" s="137" t="s">
        <v>5</v>
      </c>
      <c r="P58" s="137"/>
      <c r="Q58" s="137"/>
      <c r="R58" s="137"/>
    </row>
    <row r="59" spans="1:18" ht="16.5">
      <c r="A59" s="137"/>
      <c r="B59" s="137"/>
      <c r="C59" s="137"/>
      <c r="D59" s="137"/>
      <c r="G59" s="138"/>
      <c r="H59" s="143" t="s">
        <v>500</v>
      </c>
      <c r="I59" s="138"/>
      <c r="J59" s="138"/>
      <c r="K59" s="138"/>
      <c r="L59" s="137"/>
      <c r="M59" s="137"/>
      <c r="N59" s="208"/>
      <c r="O59" s="137"/>
      <c r="P59" s="137"/>
      <c r="Q59" s="137"/>
      <c r="R59" s="137"/>
    </row>
    <row r="60" spans="1:18" ht="16.5" customHeight="1">
      <c r="A60" s="16" t="s">
        <v>117</v>
      </c>
      <c r="B60" s="16" t="s">
        <v>347</v>
      </c>
      <c r="C60" s="115"/>
      <c r="D60" s="115"/>
      <c r="G60" s="138"/>
      <c r="H60" s="138"/>
      <c r="I60" s="138"/>
      <c r="J60" s="138"/>
      <c r="K60" s="138"/>
      <c r="L60" s="137"/>
      <c r="M60" s="137"/>
      <c r="N60" s="208"/>
      <c r="O60" s="141" t="s">
        <v>444</v>
      </c>
      <c r="P60" s="137"/>
      <c r="Q60" s="137"/>
      <c r="R60" s="137"/>
    </row>
    <row r="61" spans="1:18" ht="16.5">
      <c r="A61" s="16"/>
      <c r="B61" s="16" t="s">
        <v>348</v>
      </c>
      <c r="C61" s="115"/>
      <c r="D61" s="115"/>
      <c r="E61" s="138"/>
      <c r="F61" s="138"/>
      <c r="G61" s="138"/>
      <c r="H61" s="138"/>
      <c r="I61" s="138"/>
      <c r="J61" s="138"/>
      <c r="K61" s="138"/>
      <c r="L61" s="137"/>
      <c r="M61" s="137"/>
      <c r="N61" s="208"/>
      <c r="O61" s="137"/>
      <c r="P61" s="137"/>
      <c r="Q61" s="137"/>
      <c r="R61" s="137"/>
    </row>
    <row r="62" spans="1:18" ht="17.25">
      <c r="A62" s="16"/>
      <c r="B62" s="137"/>
      <c r="C62" s="137"/>
      <c r="D62" s="613"/>
      <c r="E62" s="613"/>
      <c r="F62" s="613"/>
      <c r="G62" s="138"/>
      <c r="H62" s="138"/>
      <c r="I62" s="138"/>
      <c r="J62" s="138"/>
      <c r="K62" s="138"/>
      <c r="L62" s="137"/>
      <c r="M62" s="137"/>
      <c r="N62" s="208"/>
      <c r="O62" s="20" t="s">
        <v>487</v>
      </c>
      <c r="P62" s="137"/>
      <c r="Q62" s="137"/>
      <c r="R62" s="137"/>
    </row>
    <row r="63" spans="1:18" ht="16.5">
      <c r="A63" s="45" t="str">
        <f>A12</f>
        <v>DOCKET NO.: 160021-EI</v>
      </c>
      <c r="B63" s="137"/>
      <c r="C63" s="137"/>
      <c r="D63" s="137"/>
      <c r="E63" s="138"/>
      <c r="F63" s="138"/>
      <c r="G63" s="138"/>
      <c r="H63" s="138"/>
      <c r="I63" s="138"/>
      <c r="J63" s="138"/>
      <c r="K63" s="138"/>
      <c r="L63" s="137"/>
      <c r="M63" s="137"/>
      <c r="N63" s="208"/>
      <c r="O63" s="137" t="s">
        <v>284</v>
      </c>
      <c r="P63" s="137"/>
      <c r="Q63" s="137"/>
      <c r="R63" s="137"/>
    </row>
    <row r="64" spans="1:18" ht="17.25" thickBot="1">
      <c r="A64" s="137"/>
      <c r="B64" s="137"/>
      <c r="C64" s="137"/>
      <c r="D64" s="137"/>
      <c r="E64" s="138"/>
      <c r="F64" s="138"/>
      <c r="G64" s="138"/>
      <c r="H64" s="138"/>
      <c r="I64" s="138"/>
      <c r="J64" s="138"/>
      <c r="K64" s="138"/>
      <c r="L64" s="137"/>
      <c r="M64" s="137"/>
      <c r="N64" s="208"/>
      <c r="O64" s="137"/>
      <c r="P64" s="137"/>
      <c r="Q64" s="137"/>
      <c r="R64" s="137"/>
    </row>
    <row r="65" spans="1:18" ht="16.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359"/>
      <c r="O65" s="142"/>
      <c r="P65" s="142"/>
      <c r="Q65" s="142"/>
      <c r="R65" s="142"/>
    </row>
    <row r="66" spans="1:18" ht="16.5">
      <c r="A66" s="138"/>
      <c r="B66" s="138"/>
      <c r="C66" s="138"/>
      <c r="D66" s="138"/>
      <c r="E66" s="138"/>
      <c r="F66" s="138"/>
      <c r="G66" s="138"/>
      <c r="H66" s="138"/>
      <c r="I66" s="138"/>
      <c r="J66" s="187" t="s">
        <v>126</v>
      </c>
      <c r="K66" s="138"/>
      <c r="L66" s="138"/>
      <c r="M66" s="138"/>
      <c r="N66" s="360" t="s">
        <v>67</v>
      </c>
      <c r="P66" s="144"/>
      <c r="Q66" s="137"/>
      <c r="R66" s="137"/>
    </row>
    <row r="67" spans="1:18" ht="16.5">
      <c r="A67" s="145" t="s">
        <v>6</v>
      </c>
      <c r="B67" s="138" t="s">
        <v>134</v>
      </c>
      <c r="C67" s="138"/>
      <c r="D67" s="138"/>
      <c r="E67" s="145" t="s">
        <v>134</v>
      </c>
      <c r="F67" s="138"/>
      <c r="G67" s="138"/>
      <c r="I67" s="145" t="s">
        <v>66</v>
      </c>
      <c r="J67" s="138"/>
      <c r="K67" s="145" t="s">
        <v>135</v>
      </c>
      <c r="L67" s="138"/>
      <c r="M67" s="138"/>
      <c r="N67" s="361" t="s">
        <v>136</v>
      </c>
      <c r="P67" s="144"/>
      <c r="Q67" s="137"/>
      <c r="R67" s="137"/>
    </row>
    <row r="68" spans="1:18" ht="16.5">
      <c r="A68" s="145" t="s">
        <v>48</v>
      </c>
      <c r="B68" s="138" t="s">
        <v>48</v>
      </c>
      <c r="C68" s="138"/>
      <c r="D68" s="138"/>
      <c r="E68" s="145" t="s">
        <v>137</v>
      </c>
      <c r="F68" s="138"/>
      <c r="G68" s="138"/>
      <c r="I68" s="145" t="s">
        <v>138</v>
      </c>
      <c r="K68" s="145" t="s">
        <v>67</v>
      </c>
      <c r="L68" s="138"/>
      <c r="M68" s="138"/>
      <c r="N68" s="361" t="s">
        <v>74</v>
      </c>
      <c r="P68" s="146"/>
      <c r="Q68" s="137"/>
      <c r="R68" s="137"/>
    </row>
    <row r="69" spans="1:18" ht="17.25" thickBot="1">
      <c r="A69" s="444"/>
      <c r="B69" s="138"/>
      <c r="C69" s="138"/>
      <c r="D69" s="138"/>
      <c r="E69" s="138"/>
      <c r="F69" s="138"/>
      <c r="G69" s="138"/>
      <c r="H69" s="138"/>
      <c r="I69" s="187" t="s">
        <v>63</v>
      </c>
      <c r="J69" s="138"/>
      <c r="K69" s="187" t="s">
        <v>63</v>
      </c>
      <c r="L69" s="138"/>
      <c r="M69" s="138"/>
      <c r="N69" s="200"/>
      <c r="O69" s="138"/>
      <c r="P69" s="137"/>
      <c r="Q69" s="137"/>
      <c r="R69" s="137"/>
    </row>
    <row r="70" spans="1:18" ht="16.5">
      <c r="A70" s="445">
        <v>1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362"/>
      <c r="O70" s="147"/>
      <c r="P70" s="142"/>
      <c r="Q70" s="142"/>
      <c r="R70" s="142"/>
    </row>
    <row r="71" spans="1:18" ht="16.5">
      <c r="A71" s="145">
        <v>2</v>
      </c>
      <c r="B71" s="27"/>
      <c r="C71" s="16"/>
      <c r="D71" s="16" t="s">
        <v>166</v>
      </c>
      <c r="E71" s="16"/>
      <c r="F71" s="16"/>
      <c r="G71" s="138"/>
      <c r="H71" s="138"/>
      <c r="I71" s="138"/>
      <c r="J71" s="138"/>
      <c r="K71" s="138"/>
      <c r="L71" s="138"/>
      <c r="M71" s="138"/>
      <c r="N71" s="200"/>
      <c r="O71" s="138"/>
      <c r="P71" s="137"/>
      <c r="Q71" s="137"/>
      <c r="R71" s="137"/>
    </row>
    <row r="72" spans="1:18" ht="16.5">
      <c r="A72" s="145">
        <v>3</v>
      </c>
      <c r="B72" s="27"/>
      <c r="C72" s="16"/>
      <c r="D72" s="16"/>
      <c r="E72" s="16"/>
      <c r="F72" s="16"/>
      <c r="G72" s="16"/>
      <c r="H72" s="37"/>
      <c r="I72" s="469"/>
      <c r="J72" s="27"/>
      <c r="K72" s="459"/>
      <c r="L72" s="27"/>
      <c r="M72" s="27"/>
      <c r="N72" s="472"/>
      <c r="O72" s="138"/>
      <c r="P72" s="137"/>
      <c r="Q72" s="137"/>
      <c r="R72" s="137"/>
    </row>
    <row r="73" spans="1:24" ht="16.5">
      <c r="A73" s="145">
        <v>4</v>
      </c>
      <c r="B73" s="27" t="s">
        <v>164</v>
      </c>
      <c r="C73" s="16"/>
      <c r="D73" s="61" t="s">
        <v>557</v>
      </c>
      <c r="E73" s="16"/>
      <c r="F73" s="16"/>
      <c r="G73" s="16"/>
      <c r="H73" s="37"/>
      <c r="I73" s="492">
        <f>+'B-10 '!Q28</f>
        <v>1069.686538631902</v>
      </c>
      <c r="J73" s="493"/>
      <c r="K73" s="492">
        <f>+I73*N73</f>
        <v>961.3649642562698</v>
      </c>
      <c r="L73" s="493"/>
      <c r="M73" s="145"/>
      <c r="N73" s="456">
        <f>'Juris Factors'!D31</f>
        <v>0.8987352177824239</v>
      </c>
      <c r="O73" s="138"/>
      <c r="P73" s="208"/>
      <c r="Q73" s="208"/>
      <c r="R73" s="208"/>
      <c r="S73" s="201"/>
      <c r="T73" s="201"/>
      <c r="U73" s="201"/>
      <c r="V73" s="201"/>
      <c r="W73" s="201"/>
      <c r="X73" s="201"/>
    </row>
    <row r="74" spans="1:18" ht="16.5">
      <c r="A74" s="145">
        <f>+A73+1</f>
        <v>5</v>
      </c>
      <c r="B74" s="27" t="s">
        <v>164</v>
      </c>
      <c r="C74" s="16"/>
      <c r="D74" s="61" t="s">
        <v>558</v>
      </c>
      <c r="I74" s="492">
        <f>+'B-10 '!Q29</f>
        <v>901.2860376222053</v>
      </c>
      <c r="K74" s="492">
        <f>+I74*N74</f>
        <v>857.3787501778819</v>
      </c>
      <c r="N74" s="477">
        <f>+N45</f>
        <v>0.9512837372249096</v>
      </c>
      <c r="O74" s="138"/>
      <c r="P74" s="137"/>
      <c r="Q74" s="137"/>
      <c r="R74" s="137"/>
    </row>
    <row r="75" spans="1:18" ht="16.5">
      <c r="A75" s="145">
        <f aca="true" t="shared" si="2" ref="A75:A109">+A74+1</f>
        <v>6</v>
      </c>
      <c r="B75" s="27"/>
      <c r="C75" s="16"/>
      <c r="D75" s="16" t="s">
        <v>166</v>
      </c>
      <c r="E75" s="16"/>
      <c r="F75" s="16"/>
      <c r="G75" s="16"/>
      <c r="H75" s="37"/>
      <c r="I75" s="494">
        <f>SUM(I73:I74)</f>
        <v>1970.9725762541075</v>
      </c>
      <c r="J75" s="18"/>
      <c r="K75" s="494">
        <f>SUM(K73:K74)</f>
        <v>1818.7437144341516</v>
      </c>
      <c r="L75" s="18"/>
      <c r="M75" s="27"/>
      <c r="N75" s="456">
        <f>+K75/I75</f>
        <v>0.922764596700137</v>
      </c>
      <c r="O75" s="138"/>
      <c r="P75" s="137"/>
      <c r="Q75" s="137"/>
      <c r="R75" s="137"/>
    </row>
    <row r="76" spans="1:18" ht="16.5">
      <c r="A76" s="145">
        <f t="shared" si="2"/>
        <v>7</v>
      </c>
      <c r="B76" s="27"/>
      <c r="C76" s="16"/>
      <c r="D76" s="16"/>
      <c r="E76" s="16"/>
      <c r="F76" s="16"/>
      <c r="G76" s="16"/>
      <c r="H76" s="37"/>
      <c r="I76" s="495"/>
      <c r="J76" s="18"/>
      <c r="K76" s="496"/>
      <c r="L76" s="18"/>
      <c r="M76" s="27"/>
      <c r="N76" s="456"/>
      <c r="O76" s="138"/>
      <c r="P76" s="137"/>
      <c r="Q76" s="137"/>
      <c r="R76" s="137"/>
    </row>
    <row r="77" spans="1:18" ht="16.5">
      <c r="A77" s="145">
        <f t="shared" si="2"/>
        <v>8</v>
      </c>
      <c r="B77" s="27"/>
      <c r="C77" s="16"/>
      <c r="D77" s="16"/>
      <c r="E77" s="16"/>
      <c r="F77" s="16"/>
      <c r="G77" s="16"/>
      <c r="H77" s="37"/>
      <c r="I77" s="495"/>
      <c r="J77" s="18"/>
      <c r="K77" s="496"/>
      <c r="L77" s="18"/>
      <c r="M77" s="27"/>
      <c r="N77" s="473"/>
      <c r="O77" s="138"/>
      <c r="P77" s="137"/>
      <c r="Q77" s="137"/>
      <c r="R77" s="137"/>
    </row>
    <row r="78" spans="1:18" ht="16.5">
      <c r="A78" s="145">
        <f t="shared" si="2"/>
        <v>9</v>
      </c>
      <c r="B78" s="27"/>
      <c r="C78" s="16"/>
      <c r="D78" s="16" t="s">
        <v>167</v>
      </c>
      <c r="E78" s="16"/>
      <c r="F78" s="16"/>
      <c r="G78" s="16"/>
      <c r="H78" s="37"/>
      <c r="I78" s="494">
        <f>+I46+I75</f>
        <v>43269.19644185621</v>
      </c>
      <c r="J78" s="18"/>
      <c r="K78" s="494">
        <f>+K46+K75</f>
        <v>41105.07245405507</v>
      </c>
      <c r="L78" s="18"/>
      <c r="M78" s="27"/>
      <c r="N78" s="456">
        <f>+K78/I78</f>
        <v>0.9499846503803411</v>
      </c>
      <c r="O78" s="138"/>
      <c r="P78" s="137"/>
      <c r="Q78" s="137"/>
      <c r="R78" s="137"/>
    </row>
    <row r="79" spans="1:18" ht="16.5">
      <c r="A79" s="145">
        <f t="shared" si="2"/>
        <v>10</v>
      </c>
      <c r="B79" s="27"/>
      <c r="C79" s="16"/>
      <c r="D79" s="16"/>
      <c r="E79" s="16"/>
      <c r="F79" s="16"/>
      <c r="G79" s="16"/>
      <c r="H79" s="37"/>
      <c r="I79" s="495"/>
      <c r="J79" s="18"/>
      <c r="K79" s="496"/>
      <c r="L79" s="18"/>
      <c r="M79" s="27"/>
      <c r="N79" s="472"/>
      <c r="O79" s="138"/>
      <c r="P79" s="137"/>
      <c r="Q79" s="137"/>
      <c r="R79" s="137"/>
    </row>
    <row r="80" spans="1:18" ht="16.5">
      <c r="A80" s="145">
        <f t="shared" si="2"/>
        <v>11</v>
      </c>
      <c r="B80" s="27"/>
      <c r="C80" s="16"/>
      <c r="D80" s="16" t="s">
        <v>168</v>
      </c>
      <c r="E80" s="16"/>
      <c r="F80" s="16"/>
      <c r="G80" s="16"/>
      <c r="H80" s="37"/>
      <c r="I80" s="497"/>
      <c r="J80" s="498"/>
      <c r="K80" s="499"/>
      <c r="L80" s="498"/>
      <c r="M80" s="81"/>
      <c r="N80" s="474"/>
      <c r="O80" s="138"/>
      <c r="P80" s="137"/>
      <c r="Q80" s="137"/>
      <c r="R80" s="137"/>
    </row>
    <row r="81" spans="1:18" ht="16.5">
      <c r="A81" s="145">
        <f t="shared" si="2"/>
        <v>12</v>
      </c>
      <c r="C81" s="20"/>
      <c r="D81" s="16"/>
      <c r="E81" s="16"/>
      <c r="F81" s="16"/>
      <c r="G81" s="16"/>
      <c r="H81" s="37"/>
      <c r="I81" s="497"/>
      <c r="J81" s="500"/>
      <c r="K81" s="497"/>
      <c r="L81" s="500"/>
      <c r="M81" s="475"/>
      <c r="N81" s="474"/>
      <c r="O81" s="138"/>
      <c r="P81" s="242"/>
      <c r="Q81" s="208"/>
      <c r="R81" s="137"/>
    </row>
    <row r="82" spans="1:21" ht="16.5">
      <c r="A82" s="145">
        <f t="shared" si="2"/>
        <v>13</v>
      </c>
      <c r="B82" s="184" t="s">
        <v>169</v>
      </c>
      <c r="C82" s="16"/>
      <c r="D82" s="20" t="s">
        <v>170</v>
      </c>
      <c r="E82" s="20"/>
      <c r="F82" s="20"/>
      <c r="G82" s="20"/>
      <c r="H82" s="46"/>
      <c r="I82" s="497">
        <f>+'C-20'!L33</f>
        <v>17552.5099723503</v>
      </c>
      <c r="J82" s="500"/>
      <c r="K82" s="497">
        <f>+'C-20'!P33</f>
        <v>16944.356623527103</v>
      </c>
      <c r="L82" s="500"/>
      <c r="M82" s="475"/>
      <c r="N82" s="456">
        <f>+'C-20'!N33</f>
        <v>0.965352342782816</v>
      </c>
      <c r="O82" s="138"/>
      <c r="P82" s="242"/>
      <c r="Q82" s="208"/>
      <c r="R82" s="208"/>
      <c r="S82" s="201"/>
      <c r="T82" s="201"/>
      <c r="U82" s="201"/>
    </row>
    <row r="83" spans="1:21" ht="16.5">
      <c r="A83" s="145">
        <f t="shared" si="2"/>
        <v>14</v>
      </c>
      <c r="B83" s="27" t="s">
        <v>169</v>
      </c>
      <c r="C83" s="16"/>
      <c r="D83" s="16" t="s">
        <v>171</v>
      </c>
      <c r="E83" s="16"/>
      <c r="F83" s="16"/>
      <c r="G83" s="16"/>
      <c r="H83" s="37"/>
      <c r="I83" s="497">
        <f>+'C-20'!L21</f>
        <v>1.0438481342844166</v>
      </c>
      <c r="J83" s="500"/>
      <c r="K83" s="497">
        <f>+'C-20'!P21</f>
        <v>1.0106581823675787</v>
      </c>
      <c r="L83" s="500"/>
      <c r="M83" s="475"/>
      <c r="N83" s="456">
        <f>+'C-20'!N21</f>
        <v>0.9682042331381946</v>
      </c>
      <c r="O83" s="138"/>
      <c r="P83" s="242"/>
      <c r="Q83" s="208"/>
      <c r="R83" s="208"/>
      <c r="S83" s="201"/>
      <c r="T83" s="201"/>
      <c r="U83" s="201"/>
    </row>
    <row r="84" spans="1:21" ht="16.5">
      <c r="A84" s="145">
        <f t="shared" si="2"/>
        <v>15</v>
      </c>
      <c r="B84" s="27" t="s">
        <v>169</v>
      </c>
      <c r="C84" s="16"/>
      <c r="D84" s="16" t="s">
        <v>172</v>
      </c>
      <c r="E84" s="16"/>
      <c r="F84" s="16"/>
      <c r="G84" s="16"/>
      <c r="H84" s="37"/>
      <c r="I84" s="497">
        <f>+'C-20'!L23</f>
        <v>4.118101077303451</v>
      </c>
      <c r="J84" s="500"/>
      <c r="K84" s="497">
        <f>+'C-20'!P23</f>
        <v>3.987162895536161</v>
      </c>
      <c r="L84" s="500"/>
      <c r="M84" s="475"/>
      <c r="N84" s="456">
        <f>+'C-20'!N23</f>
        <v>0.9682042331381946</v>
      </c>
      <c r="O84" s="138"/>
      <c r="P84" s="242"/>
      <c r="Q84" s="208"/>
      <c r="R84" s="208"/>
      <c r="S84" s="201"/>
      <c r="T84" s="201"/>
      <c r="U84" s="201"/>
    </row>
    <row r="85" spans="1:18" ht="16.5">
      <c r="A85" s="145">
        <f t="shared" si="2"/>
        <v>16</v>
      </c>
      <c r="B85" s="27" t="s">
        <v>169</v>
      </c>
      <c r="D85" s="16" t="s">
        <v>173</v>
      </c>
      <c r="E85" s="16"/>
      <c r="F85" s="16"/>
      <c r="G85" s="16"/>
      <c r="H85" s="37"/>
      <c r="I85" s="492">
        <f>+'C-20'!L25</f>
        <v>165.86105078841214</v>
      </c>
      <c r="J85" s="492"/>
      <c r="K85" s="492">
        <f>+'C-20'!P25</f>
        <v>160.58737148608972</v>
      </c>
      <c r="L85" s="501"/>
      <c r="M85" s="476"/>
      <c r="N85" s="477">
        <f>+'C-20'!N25</f>
        <v>0.9682042331381946</v>
      </c>
      <c r="O85" s="138"/>
      <c r="P85" s="137"/>
      <c r="Q85" s="137"/>
      <c r="R85" s="137"/>
    </row>
    <row r="86" spans="1:18" ht="16.5">
      <c r="A86" s="145">
        <f t="shared" si="2"/>
        <v>17</v>
      </c>
      <c r="B86" s="27"/>
      <c r="C86" s="16"/>
      <c r="D86" s="16" t="s">
        <v>168</v>
      </c>
      <c r="E86" s="138"/>
      <c r="F86" s="138"/>
      <c r="G86" s="138"/>
      <c r="H86" s="138"/>
      <c r="I86" s="494">
        <f>SUM(I82:I85)</f>
        <v>17723.532972350302</v>
      </c>
      <c r="J86" s="18"/>
      <c r="K86" s="494">
        <f>SUM(K82:K85)</f>
        <v>17109.941816091097</v>
      </c>
      <c r="L86" s="18"/>
      <c r="M86" s="27"/>
      <c r="N86" s="456">
        <f>+K86/I86</f>
        <v>0.965379862061563</v>
      </c>
      <c r="O86" s="138"/>
      <c r="P86" s="137"/>
      <c r="Q86" s="137"/>
      <c r="R86" s="137"/>
    </row>
    <row r="87" spans="1:18" ht="16.5">
      <c r="A87" s="145">
        <f t="shared" si="2"/>
        <v>18</v>
      </c>
      <c r="B87" s="138"/>
      <c r="C87" s="138"/>
      <c r="D87" s="16"/>
      <c r="E87" s="16"/>
      <c r="F87" s="16"/>
      <c r="G87" s="16"/>
      <c r="H87" s="37"/>
      <c r="I87" s="501"/>
      <c r="J87" s="501"/>
      <c r="K87" s="501"/>
      <c r="L87" s="501"/>
      <c r="M87" s="476"/>
      <c r="N87" s="476"/>
      <c r="O87" s="138"/>
      <c r="P87" s="137"/>
      <c r="Q87" s="137"/>
      <c r="R87" s="137"/>
    </row>
    <row r="88" spans="1:21" ht="16.5">
      <c r="A88" s="145">
        <f t="shared" si="2"/>
        <v>19</v>
      </c>
      <c r="B88" s="138"/>
      <c r="C88" s="138"/>
      <c r="D88" s="16" t="s">
        <v>174</v>
      </c>
      <c r="I88" s="502"/>
      <c r="J88" s="502"/>
      <c r="K88" s="502"/>
      <c r="L88" s="502"/>
      <c r="M88" s="478"/>
      <c r="N88" s="479"/>
      <c r="O88" s="138"/>
      <c r="P88" s="137"/>
      <c r="Q88" s="137"/>
      <c r="R88" s="137"/>
      <c r="U88" s="140" t="s">
        <v>515</v>
      </c>
    </row>
    <row r="89" spans="1:23" ht="16.5">
      <c r="A89" s="145">
        <f t="shared" si="2"/>
        <v>20</v>
      </c>
      <c r="C89" s="20"/>
      <c r="D89" s="138"/>
      <c r="E89" s="138"/>
      <c r="F89" s="138"/>
      <c r="G89" s="138"/>
      <c r="H89" s="138"/>
      <c r="I89" s="501"/>
      <c r="J89" s="501"/>
      <c r="K89" s="501"/>
      <c r="L89" s="501"/>
      <c r="M89" s="476"/>
      <c r="N89" s="476"/>
      <c r="O89" s="138"/>
      <c r="U89" s="329">
        <f>+I96+I94</f>
        <v>-69277.67701478399</v>
      </c>
      <c r="V89" s="329">
        <f>-K40-K78-K86</f>
        <v>-66119.83171812864</v>
      </c>
      <c r="W89" s="441">
        <f>+V89/U89</f>
        <v>0.9544175637416155</v>
      </c>
    </row>
    <row r="90" spans="1:18" ht="16.5">
      <c r="A90" s="145">
        <f t="shared" si="2"/>
        <v>21</v>
      </c>
      <c r="B90" s="184" t="s">
        <v>175</v>
      </c>
      <c r="C90" s="20"/>
      <c r="D90" s="20" t="s">
        <v>176</v>
      </c>
      <c r="E90" s="20"/>
      <c r="F90" s="20"/>
      <c r="G90" s="138"/>
      <c r="H90" s="138"/>
      <c r="I90" s="497">
        <f>'C-22, p 2'!F45</f>
        <v>-159352.20811231714</v>
      </c>
      <c r="J90" s="501"/>
      <c r="K90" s="497">
        <f>+I90*N90</f>
        <v>-152088.54624340462</v>
      </c>
      <c r="L90" s="501"/>
      <c r="M90" s="476"/>
      <c r="N90" s="480">
        <f>+W89</f>
        <v>0.9544175637416155</v>
      </c>
      <c r="O90" s="138"/>
      <c r="P90" s="241"/>
      <c r="Q90" s="137"/>
      <c r="R90" s="137"/>
    </row>
    <row r="91" spans="1:21" ht="16.5">
      <c r="A91" s="145">
        <f t="shared" si="2"/>
        <v>22</v>
      </c>
      <c r="B91" s="184" t="s">
        <v>175</v>
      </c>
      <c r="C91" s="20"/>
      <c r="D91" s="20" t="s">
        <v>177</v>
      </c>
      <c r="E91" s="20"/>
      <c r="F91" s="138"/>
      <c r="G91" s="138"/>
      <c r="H91" s="138"/>
      <c r="I91" s="503">
        <f>'C-22, p 2'!G45</f>
        <v>-9803.694952161582</v>
      </c>
      <c r="J91" s="501"/>
      <c r="K91" s="503">
        <f>+I91*N91</f>
        <v>-9356.81865190803</v>
      </c>
      <c r="L91" s="501"/>
      <c r="M91" s="476"/>
      <c r="N91" s="480">
        <f>+N90</f>
        <v>0.9544175637416155</v>
      </c>
      <c r="O91" s="138"/>
      <c r="P91" s="241"/>
      <c r="Q91" s="137"/>
      <c r="R91" s="137"/>
      <c r="U91" s="283">
        <f>-I40-I78-I86</f>
        <v>-69277.67701478399</v>
      </c>
    </row>
    <row r="92" spans="1:18" ht="16.5">
      <c r="A92" s="145">
        <f t="shared" si="2"/>
        <v>23</v>
      </c>
      <c r="B92" s="184" t="s">
        <v>178</v>
      </c>
      <c r="C92" s="20"/>
      <c r="D92" s="20" t="s">
        <v>179</v>
      </c>
      <c r="E92" s="20"/>
      <c r="F92" s="138"/>
      <c r="G92" s="138"/>
      <c r="H92" s="138"/>
      <c r="I92" s="497">
        <f>'C-22, p 2'!F46</f>
        <v>130378.49450849999</v>
      </c>
      <c r="J92" s="500"/>
      <c r="K92" s="497">
        <f>+I92*N92</f>
        <v>124435.52509310216</v>
      </c>
      <c r="L92" s="500"/>
      <c r="M92" s="475"/>
      <c r="N92" s="480">
        <f>+N91</f>
        <v>0.9544175637416155</v>
      </c>
      <c r="O92" s="138"/>
      <c r="P92" s="241"/>
      <c r="Q92" s="137"/>
      <c r="R92" s="137"/>
    </row>
    <row r="93" spans="1:18" ht="16.5">
      <c r="A93" s="145">
        <f t="shared" si="2"/>
        <v>24</v>
      </c>
      <c r="B93" s="184" t="s">
        <v>180</v>
      </c>
      <c r="C93" s="16"/>
      <c r="D93" s="20" t="s">
        <v>181</v>
      </c>
      <c r="E93" s="20"/>
      <c r="F93" s="138"/>
      <c r="G93" s="138"/>
      <c r="H93" s="138"/>
      <c r="I93" s="497">
        <f>'C-22, p 2'!G46</f>
        <v>4985.6926900000035</v>
      </c>
      <c r="J93" s="500"/>
      <c r="K93" s="497">
        <f>+I93*N93</f>
        <v>4758.432670754185</v>
      </c>
      <c r="L93" s="500"/>
      <c r="M93" s="475"/>
      <c r="N93" s="480">
        <f>+N92</f>
        <v>0.9544175637416155</v>
      </c>
      <c r="O93" s="138"/>
      <c r="P93" s="137"/>
      <c r="Q93" s="137"/>
      <c r="R93" s="137"/>
    </row>
    <row r="94" spans="1:18" ht="16.5">
      <c r="A94" s="145">
        <f t="shared" si="2"/>
        <v>25</v>
      </c>
      <c r="B94" s="138"/>
      <c r="C94" s="138"/>
      <c r="D94" s="16" t="s">
        <v>174</v>
      </c>
      <c r="E94" s="16"/>
      <c r="F94" s="138"/>
      <c r="G94" s="138"/>
      <c r="H94" s="138"/>
      <c r="I94" s="494">
        <f>SUM(I90:I93)</f>
        <v>-33791.71586597872</v>
      </c>
      <c r="J94" s="18"/>
      <c r="K94" s="494">
        <f>SUM(K90:K93)</f>
        <v>-32251.407131456297</v>
      </c>
      <c r="L94" s="18"/>
      <c r="M94" s="27"/>
      <c r="N94" s="481">
        <f>+K94/I94</f>
        <v>0.9544175637416153</v>
      </c>
      <c r="O94" s="138"/>
      <c r="P94" s="137"/>
      <c r="Q94" s="137"/>
      <c r="R94" s="137"/>
    </row>
    <row r="95" spans="1:18" ht="16.5">
      <c r="A95" s="145">
        <f t="shared" si="2"/>
        <v>26</v>
      </c>
      <c r="B95" s="138"/>
      <c r="C95" s="138"/>
      <c r="D95" s="138"/>
      <c r="E95" s="138"/>
      <c r="F95" s="138"/>
      <c r="G95" s="138"/>
      <c r="H95" s="138"/>
      <c r="I95" s="593"/>
      <c r="J95" s="493"/>
      <c r="K95" s="493"/>
      <c r="L95" s="493"/>
      <c r="M95" s="145"/>
      <c r="N95" s="482"/>
      <c r="O95" s="138"/>
      <c r="P95" s="137"/>
      <c r="Q95" s="137"/>
      <c r="R95" s="137"/>
    </row>
    <row r="96" spans="1:18" ht="17.25" thickBot="1">
      <c r="A96" s="145">
        <f t="shared" si="2"/>
        <v>27</v>
      </c>
      <c r="B96" s="138"/>
      <c r="C96" s="138"/>
      <c r="D96" s="16" t="s">
        <v>182</v>
      </c>
      <c r="E96" s="138"/>
      <c r="F96" s="138"/>
      <c r="G96" s="138"/>
      <c r="H96" s="138"/>
      <c r="I96" s="594">
        <f>+-I40-I78-I86-I94</f>
        <v>-35485.96114880527</v>
      </c>
      <c r="J96" s="493"/>
      <c r="K96" s="504">
        <f>+-K40-K78-K86-K94</f>
        <v>-33868.42458667234</v>
      </c>
      <c r="L96" s="493"/>
      <c r="M96" s="145"/>
      <c r="N96" s="483">
        <f>+K96/I96</f>
        <v>0.9544175637416155</v>
      </c>
      <c r="O96" s="138"/>
      <c r="P96" s="137"/>
      <c r="Q96" s="137"/>
      <c r="R96" s="137"/>
    </row>
    <row r="97" spans="1:18" ht="17.25" thickTop="1">
      <c r="A97" s="145">
        <f t="shared" si="2"/>
        <v>28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200"/>
      <c r="O97" s="138"/>
      <c r="P97" s="137"/>
      <c r="Q97" s="137"/>
      <c r="R97" s="137"/>
    </row>
    <row r="98" spans="1:18" ht="16.5">
      <c r="A98" s="145">
        <f t="shared" si="2"/>
        <v>29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200"/>
      <c r="O98" s="138"/>
      <c r="P98" s="137"/>
      <c r="Q98" s="137"/>
      <c r="R98" s="137"/>
    </row>
    <row r="99" spans="1:18" ht="16.5">
      <c r="A99" s="145">
        <f t="shared" si="2"/>
        <v>30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200"/>
      <c r="O99" s="138"/>
      <c r="P99" s="137"/>
      <c r="Q99" s="137"/>
      <c r="R99" s="137"/>
    </row>
    <row r="100" spans="1:18" ht="16.5">
      <c r="A100" s="145">
        <f t="shared" si="2"/>
        <v>31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200"/>
      <c r="O100" s="138"/>
      <c r="P100" s="137"/>
      <c r="Q100" s="137"/>
      <c r="R100" s="137"/>
    </row>
    <row r="101" spans="1:18" ht="16.5">
      <c r="A101" s="145">
        <f t="shared" si="2"/>
        <v>32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200"/>
      <c r="O101" s="138"/>
      <c r="P101" s="137"/>
      <c r="Q101" s="137"/>
      <c r="R101" s="137"/>
    </row>
    <row r="102" spans="1:18" ht="16.5">
      <c r="A102" s="145">
        <f t="shared" si="2"/>
        <v>33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200"/>
      <c r="O102" s="138"/>
      <c r="P102" s="137"/>
      <c r="Q102" s="137"/>
      <c r="R102" s="137"/>
    </row>
    <row r="103" spans="1:18" ht="16.5">
      <c r="A103" s="145">
        <f t="shared" si="2"/>
        <v>34</v>
      </c>
      <c r="B103" s="138"/>
      <c r="C103" s="138"/>
      <c r="D103" s="138"/>
      <c r="E103" s="138"/>
      <c r="F103" s="138"/>
      <c r="G103" s="138"/>
      <c r="H103" s="138"/>
      <c r="I103" s="282"/>
      <c r="J103" s="138"/>
      <c r="K103" s="138"/>
      <c r="L103" s="138"/>
      <c r="M103" s="138"/>
      <c r="N103" s="200"/>
      <c r="O103" s="138"/>
      <c r="P103" s="137"/>
      <c r="Q103" s="137"/>
      <c r="R103" s="137"/>
    </row>
    <row r="104" spans="1:18" ht="16.5">
      <c r="A104" s="145">
        <f t="shared" si="2"/>
        <v>35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200"/>
      <c r="O104" s="138"/>
      <c r="P104" s="137"/>
      <c r="Q104" s="137"/>
      <c r="R104" s="137"/>
    </row>
    <row r="105" spans="1:18" ht="16.5">
      <c r="A105" s="145">
        <f t="shared" si="2"/>
        <v>36</v>
      </c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200"/>
      <c r="O105" s="138"/>
      <c r="P105" s="137"/>
      <c r="Q105" s="137"/>
      <c r="R105" s="137"/>
    </row>
    <row r="106" spans="1:18" ht="16.5">
      <c r="A106" s="145">
        <f t="shared" si="2"/>
        <v>37</v>
      </c>
      <c r="B106" s="107" t="s">
        <v>373</v>
      </c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200"/>
      <c r="O106" s="138"/>
      <c r="P106" s="137"/>
      <c r="Q106" s="137"/>
      <c r="R106" s="137"/>
    </row>
    <row r="107" spans="1:18" ht="16.5">
      <c r="A107" s="145">
        <f t="shared" si="2"/>
        <v>38</v>
      </c>
      <c r="B107" s="281" t="s">
        <v>504</v>
      </c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200"/>
      <c r="O107" s="138"/>
      <c r="P107" s="137"/>
      <c r="Q107" s="137"/>
      <c r="R107" s="137"/>
    </row>
    <row r="108" spans="1:18" ht="16.5">
      <c r="A108" s="145">
        <f t="shared" si="2"/>
        <v>39</v>
      </c>
      <c r="B108" s="107" t="s">
        <v>248</v>
      </c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200"/>
      <c r="O108" s="138"/>
      <c r="P108" s="137"/>
      <c r="Q108" s="137"/>
      <c r="R108" s="137"/>
    </row>
    <row r="109" spans="1:18" ht="16.5">
      <c r="A109" s="145">
        <f t="shared" si="2"/>
        <v>40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200"/>
      <c r="O109" s="138"/>
      <c r="P109" s="137"/>
      <c r="Q109" s="137"/>
      <c r="R109" s="137"/>
    </row>
    <row r="110" spans="1:18" ht="17.25" thickBo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363"/>
      <c r="M110" s="137"/>
      <c r="N110" s="208"/>
      <c r="O110" s="137"/>
      <c r="P110" s="137"/>
      <c r="Q110" s="137"/>
      <c r="R110" s="137"/>
    </row>
    <row r="111" spans="1:18" ht="16.5">
      <c r="A111" s="142" t="s">
        <v>13</v>
      </c>
      <c r="B111" s="142"/>
      <c r="C111" s="142"/>
      <c r="D111" s="147" t="s">
        <v>287</v>
      </c>
      <c r="E111" s="147"/>
      <c r="F111" s="147"/>
      <c r="G111" s="147"/>
      <c r="H111" s="147"/>
      <c r="I111" s="147"/>
      <c r="J111" s="147"/>
      <c r="K111" s="142" t="s">
        <v>14</v>
      </c>
      <c r="M111" s="142"/>
      <c r="N111" s="362" t="s">
        <v>155</v>
      </c>
      <c r="O111" s="147"/>
      <c r="P111" s="142"/>
      <c r="Q111" s="142"/>
      <c r="R111" s="142"/>
    </row>
    <row r="112" spans="1:18" ht="16.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208"/>
      <c r="O112" s="137"/>
      <c r="P112" s="137"/>
      <c r="Q112" s="137"/>
      <c r="R112" s="137"/>
    </row>
  </sheetData>
  <sheetProtection/>
  <mergeCells count="2">
    <mergeCell ref="D11:F11"/>
    <mergeCell ref="D62:F62"/>
  </mergeCells>
  <printOptions horizontalCentered="1"/>
  <pageMargins left="0.5" right="0.5" top="0.75" bottom="0.25" header="0" footer="0"/>
  <pageSetup horizontalDpi="600" verticalDpi="600" orientation="landscape" scale="54" r:id="rId1"/>
  <rowBreaks count="1" manualBreakCount="1">
    <brk id="54" max="17" man="1"/>
  </rowBreaks>
  <ignoredErrors>
    <ignoredError sqref="K34:N35 K38:N39 I41:I45 K41:N45 L40:N40 I37:I39 L36:N37 A21:A51 A74:A98 A99:A109 J73:K73 N73" unlockedFormula="1"/>
    <ignoredError sqref="B21:B27 B34:B36 B86:B88 I69:N72" numberStoredAsText="1"/>
    <ignoredError sqref="L73:M73 I73 I74:N96" numberStoredAsText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62"/>
  <sheetViews>
    <sheetView showGridLines="0" showOutlineSymbols="0" zoomScale="75" zoomScaleNormal="75" zoomScalePageLayoutView="0" workbookViewId="0" topLeftCell="A1">
      <selection activeCell="A2" sqref="A2"/>
    </sheetView>
  </sheetViews>
  <sheetFormatPr defaultColWidth="9.6640625" defaultRowHeight="15"/>
  <cols>
    <col min="1" max="1" width="11.5546875" style="153" customWidth="1"/>
    <col min="2" max="2" width="27.4453125" style="153" customWidth="1"/>
    <col min="3" max="3" width="1.33203125" style="153" customWidth="1"/>
    <col min="4" max="4" width="0.671875" style="153" customWidth="1"/>
    <col min="5" max="5" width="9.6640625" style="153" customWidth="1"/>
    <col min="6" max="6" width="8.88671875" style="153" customWidth="1"/>
    <col min="7" max="7" width="9.6640625" style="153" customWidth="1"/>
    <col min="8" max="8" width="5.4453125" style="153" customWidth="1"/>
    <col min="9" max="9" width="5.5546875" style="153" customWidth="1"/>
    <col min="10" max="10" width="9.6640625" style="153" customWidth="1"/>
    <col min="11" max="11" width="7.77734375" style="153" customWidth="1"/>
    <col min="12" max="12" width="12.4453125" style="153" customWidth="1"/>
    <col min="13" max="13" width="6.6640625" style="153" customWidth="1"/>
    <col min="14" max="14" width="11.99609375" style="153" customWidth="1"/>
    <col min="15" max="15" width="6.6640625" style="153" customWidth="1"/>
    <col min="16" max="16" width="9.5546875" style="153" customWidth="1"/>
    <col min="17" max="17" width="9.6640625" style="153" customWidth="1"/>
    <col min="18" max="18" width="4.3359375" style="153" customWidth="1"/>
    <col min="19" max="19" width="8.88671875" style="153" customWidth="1"/>
    <col min="20" max="20" width="28.10546875" style="153" customWidth="1"/>
    <col min="21" max="16384" width="9.6640625" style="153" customWidth="1"/>
  </cols>
  <sheetData>
    <row r="1" s="622" customFormat="1" ht="15">
      <c r="A1" s="622" t="s">
        <v>579</v>
      </c>
    </row>
    <row r="2" s="622" customFormat="1" ht="15">
      <c r="A2" s="622" t="s">
        <v>571</v>
      </c>
    </row>
    <row r="3" s="622" customFormat="1" ht="15"/>
    <row r="4" spans="1:20" ht="16.5">
      <c r="A4" s="149" t="s">
        <v>288</v>
      </c>
      <c r="B4" s="150"/>
      <c r="C4" s="149"/>
      <c r="D4" s="149"/>
      <c r="E4" s="150"/>
      <c r="F4" s="150"/>
      <c r="G4" s="150"/>
      <c r="H4" s="151" t="s">
        <v>289</v>
      </c>
      <c r="I4" s="151"/>
      <c r="J4" s="150"/>
      <c r="K4" s="150"/>
      <c r="L4" s="150"/>
      <c r="M4" s="150"/>
      <c r="N4" s="149"/>
      <c r="O4" s="149"/>
      <c r="P4" s="149"/>
      <c r="Q4" s="152"/>
      <c r="R4" s="149"/>
      <c r="S4" s="149" t="s">
        <v>19</v>
      </c>
      <c r="T4" s="149"/>
    </row>
    <row r="5" spans="1:20" ht="17.25" thickBot="1">
      <c r="A5" s="141" t="str">
        <f>+'A-1'!A5</f>
        <v>2019 Okeechobee Limited Scope Adjustment</v>
      </c>
      <c r="B5" s="137"/>
      <c r="C5" s="137"/>
      <c r="D5" s="137"/>
      <c r="E5" s="137"/>
      <c r="F5" s="137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20" ht="16.5">
      <c r="A6" s="142"/>
      <c r="B6" s="142"/>
      <c r="C6" s="142"/>
      <c r="D6" s="142"/>
      <c r="E6" s="142"/>
      <c r="F6" s="142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16.5">
      <c r="A7" s="137" t="s">
        <v>2</v>
      </c>
      <c r="B7" s="137"/>
      <c r="C7" s="137"/>
      <c r="D7" s="137"/>
      <c r="E7" s="140"/>
      <c r="F7" s="137" t="s">
        <v>61</v>
      </c>
      <c r="G7" s="149"/>
      <c r="H7" s="150" t="s">
        <v>290</v>
      </c>
      <c r="I7" s="150"/>
      <c r="J7" s="150"/>
      <c r="K7" s="150"/>
      <c r="L7" s="150"/>
      <c r="M7" s="150"/>
      <c r="N7" s="149"/>
      <c r="O7" s="149"/>
      <c r="P7" s="149"/>
      <c r="Q7" s="149" t="s">
        <v>5</v>
      </c>
      <c r="R7" s="149"/>
      <c r="S7" s="149"/>
      <c r="T7" s="149"/>
    </row>
    <row r="8" spans="1:20" ht="16.5">
      <c r="A8" s="137"/>
      <c r="B8" s="137"/>
      <c r="C8" s="137"/>
      <c r="D8" s="137"/>
      <c r="E8" s="140"/>
      <c r="F8" s="140"/>
      <c r="G8" s="150"/>
      <c r="H8" s="156" t="s">
        <v>511</v>
      </c>
      <c r="I8" s="150"/>
      <c r="J8" s="150"/>
      <c r="K8" s="150"/>
      <c r="L8" s="150"/>
      <c r="M8" s="150"/>
      <c r="N8" s="149"/>
      <c r="O8" s="149"/>
      <c r="P8" s="149"/>
      <c r="R8" s="149"/>
      <c r="S8" s="149"/>
      <c r="T8" s="149"/>
    </row>
    <row r="9" spans="1:20" ht="16.5">
      <c r="A9" s="16" t="s">
        <v>117</v>
      </c>
      <c r="B9" s="50" t="s">
        <v>347</v>
      </c>
      <c r="C9" s="50"/>
      <c r="D9" s="50"/>
      <c r="E9" s="140"/>
      <c r="F9" s="140"/>
      <c r="G9" s="150"/>
      <c r="H9" s="156" t="s">
        <v>512</v>
      </c>
      <c r="I9" s="150"/>
      <c r="J9" s="150"/>
      <c r="K9" s="150"/>
      <c r="L9" s="150"/>
      <c r="M9" s="150"/>
      <c r="N9" s="149"/>
      <c r="O9" s="149"/>
      <c r="P9" s="149"/>
      <c r="Q9" s="154" t="s">
        <v>444</v>
      </c>
      <c r="R9" s="149"/>
      <c r="S9" s="149"/>
      <c r="T9" s="149"/>
    </row>
    <row r="10" spans="1:20" ht="16.5">
      <c r="A10" s="16"/>
      <c r="B10" s="137" t="s">
        <v>348</v>
      </c>
      <c r="C10" s="50"/>
      <c r="D10" s="50"/>
      <c r="E10" s="138"/>
      <c r="F10" s="138"/>
      <c r="G10" s="150"/>
      <c r="H10" s="156" t="s">
        <v>513</v>
      </c>
      <c r="I10" s="150"/>
      <c r="J10" s="150"/>
      <c r="K10" s="150"/>
      <c r="L10" s="150"/>
      <c r="M10" s="150"/>
      <c r="N10" s="149"/>
      <c r="O10" s="149"/>
      <c r="P10" s="149"/>
      <c r="Q10" s="149"/>
      <c r="R10" s="149"/>
      <c r="S10" s="149"/>
      <c r="T10" s="149"/>
    </row>
    <row r="11" spans="1:20" ht="17.25">
      <c r="A11" s="16"/>
      <c r="C11" s="137"/>
      <c r="D11" s="613"/>
      <c r="E11" s="613"/>
      <c r="F11" s="613"/>
      <c r="G11" s="150"/>
      <c r="H11" s="149"/>
      <c r="I11" s="150"/>
      <c r="J11" s="150"/>
      <c r="K11" s="150"/>
      <c r="L11" s="150"/>
      <c r="M11" s="150"/>
      <c r="N11" s="149"/>
      <c r="O11" s="149"/>
      <c r="P11" s="149"/>
      <c r="Q11" s="149" t="s">
        <v>564</v>
      </c>
      <c r="R11" s="149"/>
      <c r="S11" s="149"/>
      <c r="T11" s="149"/>
    </row>
    <row r="12" spans="1:20" ht="16.5">
      <c r="A12" s="45" t="str">
        <f>+'A-1'!A12</f>
        <v>DOCKET NO.: 160021-EI</v>
      </c>
      <c r="B12" s="137"/>
      <c r="C12" s="137"/>
      <c r="D12" s="137"/>
      <c r="E12" s="138"/>
      <c r="F12" s="138"/>
      <c r="G12" s="150"/>
      <c r="H12" s="149"/>
      <c r="I12" s="150"/>
      <c r="J12" s="157" t="s">
        <v>63</v>
      </c>
      <c r="K12" s="150"/>
      <c r="L12" s="150"/>
      <c r="M12" s="150"/>
      <c r="N12" s="149"/>
      <c r="O12" s="149"/>
      <c r="P12" s="149"/>
      <c r="R12" s="564" t="s">
        <v>565</v>
      </c>
      <c r="S12" s="149"/>
      <c r="T12" s="149"/>
    </row>
    <row r="13" spans="1:20" ht="17.25" thickBot="1">
      <c r="A13" s="149"/>
      <c r="B13" s="149"/>
      <c r="C13" s="149"/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49"/>
      <c r="O13" s="149"/>
      <c r="P13" s="149"/>
      <c r="Q13" s="149"/>
      <c r="R13" s="149"/>
      <c r="S13" s="149"/>
      <c r="T13" s="149"/>
    </row>
    <row r="14" spans="1:20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</row>
    <row r="15" spans="1:20" ht="16.5">
      <c r="A15" s="150"/>
      <c r="B15" s="150"/>
      <c r="C15" s="150"/>
      <c r="D15" s="150"/>
      <c r="E15" s="158" t="s">
        <v>21</v>
      </c>
      <c r="F15" s="150"/>
      <c r="G15" s="158" t="s">
        <v>22</v>
      </c>
      <c r="H15" s="150"/>
      <c r="I15" s="150"/>
      <c r="J15" s="158" t="s">
        <v>23</v>
      </c>
      <c r="K15" s="158"/>
      <c r="L15" s="158" t="s">
        <v>24</v>
      </c>
      <c r="M15" s="150"/>
      <c r="N15" s="158" t="s">
        <v>25</v>
      </c>
      <c r="O15" s="150"/>
      <c r="P15" s="158" t="s">
        <v>26</v>
      </c>
      <c r="Q15" s="150"/>
      <c r="R15" s="159" t="s">
        <v>27</v>
      </c>
      <c r="S15" s="159"/>
      <c r="T15" s="149"/>
    </row>
    <row r="16" spans="1:20" ht="16.5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O16" s="150"/>
      <c r="P16" s="150"/>
      <c r="Q16" s="150"/>
      <c r="R16" s="158" t="s">
        <v>291</v>
      </c>
      <c r="T16" s="149"/>
    </row>
    <row r="17" spans="1:20" ht="16.5">
      <c r="A17" s="158" t="s">
        <v>6</v>
      </c>
      <c r="B17" s="150"/>
      <c r="C17" s="150"/>
      <c r="D17" s="150"/>
      <c r="E17" s="150"/>
      <c r="F17" s="150"/>
      <c r="G17" s="158" t="s">
        <v>292</v>
      </c>
      <c r="H17" s="150"/>
      <c r="I17" s="150"/>
      <c r="J17" s="158" t="s">
        <v>66</v>
      </c>
      <c r="K17" s="158"/>
      <c r="L17" s="158" t="s">
        <v>293</v>
      </c>
      <c r="M17" s="150"/>
      <c r="N17" s="160" t="s">
        <v>67</v>
      </c>
      <c r="O17" s="160"/>
      <c r="P17" s="160"/>
      <c r="Q17" s="150"/>
      <c r="R17" s="159" t="s">
        <v>293</v>
      </c>
      <c r="S17" s="159"/>
      <c r="T17" s="149"/>
    </row>
    <row r="18" spans="1:20" ht="16.5">
      <c r="A18" s="158" t="s">
        <v>48</v>
      </c>
      <c r="B18" s="150" t="s">
        <v>294</v>
      </c>
      <c r="C18" s="150"/>
      <c r="D18" s="150"/>
      <c r="E18" s="158" t="s">
        <v>106</v>
      </c>
      <c r="F18" s="150"/>
      <c r="G18" s="158" t="s">
        <v>295</v>
      </c>
      <c r="H18" s="150"/>
      <c r="I18" s="150"/>
      <c r="J18" s="158" t="s">
        <v>70</v>
      </c>
      <c r="K18" s="158"/>
      <c r="L18" s="158" t="s">
        <v>296</v>
      </c>
      <c r="M18" s="150"/>
      <c r="N18" s="161" t="s">
        <v>74</v>
      </c>
      <c r="O18" s="162"/>
      <c r="P18" s="161" t="s">
        <v>70</v>
      </c>
      <c r="Q18" s="150"/>
      <c r="R18" s="159" t="s">
        <v>296</v>
      </c>
      <c r="S18" s="159"/>
      <c r="T18" s="149"/>
    </row>
    <row r="19" spans="1:20" ht="17.25" thickBot="1">
      <c r="A19" s="446"/>
      <c r="B19" s="150"/>
      <c r="C19" s="150"/>
      <c r="D19" s="150"/>
      <c r="E19" s="150"/>
      <c r="F19" s="150"/>
      <c r="G19" s="158" t="s">
        <v>297</v>
      </c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49"/>
      <c r="S19" s="149"/>
      <c r="T19" s="149"/>
    </row>
    <row r="20" spans="1:20" ht="16.5">
      <c r="A20" s="447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55"/>
      <c r="S20" s="155"/>
      <c r="T20" s="155"/>
    </row>
    <row r="21" spans="1:21" ht="16.5">
      <c r="A21" s="158" t="s">
        <v>187</v>
      </c>
      <c r="B21" s="150" t="s">
        <v>298</v>
      </c>
      <c r="C21" s="150"/>
      <c r="D21" s="150"/>
      <c r="E21" s="202">
        <v>0.00039567777317058543</v>
      </c>
      <c r="F21" s="150"/>
      <c r="G21" s="150"/>
      <c r="H21" s="150"/>
      <c r="I21" s="150"/>
      <c r="J21" s="203">
        <v>1.0438481342844166</v>
      </c>
      <c r="K21" s="150"/>
      <c r="L21" s="206">
        <v>1.0438481342844166</v>
      </c>
      <c r="M21" s="150"/>
      <c r="N21" s="364">
        <f>+'Juris Factors'!D35</f>
        <v>0.9682042331381946</v>
      </c>
      <c r="O21" s="150"/>
      <c r="P21" s="203">
        <f>+L21*N21</f>
        <v>1.0106581823675787</v>
      </c>
      <c r="Q21" s="150"/>
      <c r="R21" s="149"/>
      <c r="S21" s="203">
        <f>+P21</f>
        <v>1.0106581823675787</v>
      </c>
      <c r="T21" s="149"/>
      <c r="U21" s="243"/>
    </row>
    <row r="22" spans="1:21" ht="16.5">
      <c r="A22" s="158"/>
      <c r="B22" s="150"/>
      <c r="C22" s="150"/>
      <c r="D22" s="150"/>
      <c r="E22" s="202"/>
      <c r="F22" s="150"/>
      <c r="G22" s="150"/>
      <c r="H22" s="150"/>
      <c r="I22" s="150"/>
      <c r="J22" s="150"/>
      <c r="K22" s="150"/>
      <c r="L22" s="207"/>
      <c r="M22" s="150"/>
      <c r="N22" s="220"/>
      <c r="O22" s="150"/>
      <c r="P22" s="150"/>
      <c r="Q22" s="150"/>
      <c r="R22" s="149"/>
      <c r="S22" s="150"/>
      <c r="T22" s="149"/>
      <c r="U22" s="243"/>
    </row>
    <row r="23" spans="1:21" ht="16.5">
      <c r="A23" s="158" t="s">
        <v>189</v>
      </c>
      <c r="B23" s="150" t="s">
        <v>299</v>
      </c>
      <c r="C23" s="150"/>
      <c r="D23" s="150"/>
      <c r="E23" s="202">
        <v>0.001560994373071175</v>
      </c>
      <c r="F23" s="150"/>
      <c r="G23" s="150"/>
      <c r="H23" s="150"/>
      <c r="I23" s="150"/>
      <c r="J23" s="203">
        <v>4.118101077303451</v>
      </c>
      <c r="K23" s="150"/>
      <c r="L23" s="206">
        <v>4.118101077303451</v>
      </c>
      <c r="M23" s="150"/>
      <c r="N23" s="364">
        <f>+'Juris Factors'!D36</f>
        <v>0.9682042331381946</v>
      </c>
      <c r="O23" s="150"/>
      <c r="P23" s="203">
        <f>+L23*N23</f>
        <v>3.987162895536161</v>
      </c>
      <c r="Q23" s="150"/>
      <c r="R23" s="149"/>
      <c r="S23" s="203">
        <f>+P23</f>
        <v>3.987162895536161</v>
      </c>
      <c r="T23" s="149"/>
      <c r="U23" s="243"/>
    </row>
    <row r="24" spans="1:21" ht="16.5">
      <c r="A24" s="158"/>
      <c r="B24" s="150"/>
      <c r="C24" s="150"/>
      <c r="D24" s="150"/>
      <c r="E24" s="202"/>
      <c r="F24" s="150"/>
      <c r="G24" s="150"/>
      <c r="H24" s="150"/>
      <c r="I24" s="150"/>
      <c r="J24" s="150"/>
      <c r="K24" s="150"/>
      <c r="L24" s="207"/>
      <c r="M24" s="150"/>
      <c r="N24" s="220"/>
      <c r="O24" s="150"/>
      <c r="P24" s="150"/>
      <c r="Q24" s="150"/>
      <c r="R24" s="149"/>
      <c r="S24" s="150"/>
      <c r="T24" s="149"/>
      <c r="U24" s="243"/>
    </row>
    <row r="25" spans="1:21" ht="16.5">
      <c r="A25" s="158" t="s">
        <v>191</v>
      </c>
      <c r="B25" s="150" t="s">
        <v>300</v>
      </c>
      <c r="C25" s="150"/>
      <c r="D25" s="150"/>
      <c r="E25" s="202">
        <v>0.06287076546501812</v>
      </c>
      <c r="F25" s="150"/>
      <c r="G25" s="150"/>
      <c r="H25" s="150"/>
      <c r="I25" s="150"/>
      <c r="J25" s="203">
        <v>165.86105078841214</v>
      </c>
      <c r="K25" s="150"/>
      <c r="L25" s="206">
        <v>165.86105078841214</v>
      </c>
      <c r="M25" s="150"/>
      <c r="N25" s="364">
        <f>+'Juris Factors'!D37</f>
        <v>0.9682042331381946</v>
      </c>
      <c r="O25" s="150"/>
      <c r="P25" s="203">
        <f>+L25*N25</f>
        <v>160.58737148608972</v>
      </c>
      <c r="Q25" s="150"/>
      <c r="R25" s="149"/>
      <c r="S25" s="203">
        <f>+P25</f>
        <v>160.58737148608972</v>
      </c>
      <c r="T25" s="149"/>
      <c r="U25" s="243"/>
    </row>
    <row r="26" spans="1:21" ht="16.5">
      <c r="A26" s="158"/>
      <c r="B26" s="150"/>
      <c r="C26" s="150"/>
      <c r="D26" s="150"/>
      <c r="E26" s="158"/>
      <c r="F26" s="150"/>
      <c r="G26" s="150"/>
      <c r="H26" s="150"/>
      <c r="I26" s="150"/>
      <c r="J26" s="150"/>
      <c r="K26" s="150"/>
      <c r="L26" s="150"/>
      <c r="M26" s="150"/>
      <c r="N26" s="220"/>
      <c r="O26" s="150"/>
      <c r="P26" s="150"/>
      <c r="Q26" s="150"/>
      <c r="R26" s="149"/>
      <c r="S26" s="150"/>
      <c r="T26" s="149"/>
      <c r="U26" s="243"/>
    </row>
    <row r="27" spans="1:21" ht="16.5">
      <c r="A27" s="158" t="s">
        <v>193</v>
      </c>
      <c r="B27" s="150" t="s">
        <v>301</v>
      </c>
      <c r="C27" s="150"/>
      <c r="D27" s="150"/>
      <c r="E27" s="158" t="s">
        <v>122</v>
      </c>
      <c r="F27" s="150"/>
      <c r="G27" s="150"/>
      <c r="H27" s="150"/>
      <c r="I27" s="150"/>
      <c r="J27" s="150"/>
      <c r="K27" s="150"/>
      <c r="L27" s="150"/>
      <c r="M27" s="150"/>
      <c r="N27" s="220"/>
      <c r="O27" s="150"/>
      <c r="P27" s="150"/>
      <c r="Q27" s="150"/>
      <c r="R27" s="149"/>
      <c r="S27" s="150"/>
      <c r="T27" s="149"/>
      <c r="U27" s="243"/>
    </row>
    <row r="28" spans="1:21" ht="16.5">
      <c r="A28" s="158"/>
      <c r="B28" s="150"/>
      <c r="C28" s="150"/>
      <c r="D28" s="150"/>
      <c r="E28" s="158"/>
      <c r="F28" s="150"/>
      <c r="G28" s="150"/>
      <c r="H28" s="150"/>
      <c r="I28" s="150"/>
      <c r="J28" s="150"/>
      <c r="K28" s="150"/>
      <c r="L28" s="150"/>
      <c r="M28" s="150"/>
      <c r="N28" s="220"/>
      <c r="O28" s="150"/>
      <c r="P28" s="150"/>
      <c r="Q28" s="150"/>
      <c r="R28" s="149"/>
      <c r="S28" s="150"/>
      <c r="T28" s="149"/>
      <c r="U28" s="243"/>
    </row>
    <row r="29" spans="1:21" ht="16.5">
      <c r="A29" s="158" t="s">
        <v>195</v>
      </c>
      <c r="B29" s="150" t="s">
        <v>302</v>
      </c>
      <c r="C29" s="150"/>
      <c r="D29" s="150"/>
      <c r="E29" s="158" t="s">
        <v>122</v>
      </c>
      <c r="F29" s="150"/>
      <c r="G29" s="150"/>
      <c r="H29" s="150"/>
      <c r="I29" s="150"/>
      <c r="J29" s="150"/>
      <c r="K29" s="150"/>
      <c r="L29" s="150"/>
      <c r="M29" s="150"/>
      <c r="N29" s="220"/>
      <c r="O29" s="150"/>
      <c r="P29" s="150"/>
      <c r="Q29" s="150"/>
      <c r="R29" s="149"/>
      <c r="S29" s="150"/>
      <c r="T29" s="149"/>
      <c r="U29" s="243"/>
    </row>
    <row r="30" spans="1:21" ht="16.5">
      <c r="A30" s="158"/>
      <c r="B30" s="150"/>
      <c r="C30" s="150"/>
      <c r="D30" s="150"/>
      <c r="E30" s="158"/>
      <c r="F30" s="150"/>
      <c r="G30" s="150"/>
      <c r="H30" s="150"/>
      <c r="I30" s="150"/>
      <c r="J30" s="150"/>
      <c r="K30" s="150"/>
      <c r="L30" s="150"/>
      <c r="M30" s="150"/>
      <c r="N30" s="220"/>
      <c r="O30" s="150"/>
      <c r="P30" s="150"/>
      <c r="Q30" s="150"/>
      <c r="R30" s="149"/>
      <c r="S30" s="150"/>
      <c r="T30" s="149"/>
      <c r="U30" s="243"/>
    </row>
    <row r="31" spans="1:21" ht="16.5">
      <c r="A31" s="158" t="s">
        <v>198</v>
      </c>
      <c r="B31" s="150" t="s">
        <v>303</v>
      </c>
      <c r="C31" s="150"/>
      <c r="D31" s="150"/>
      <c r="E31" s="158" t="s">
        <v>122</v>
      </c>
      <c r="F31" s="150"/>
      <c r="G31" s="150"/>
      <c r="H31" s="150"/>
      <c r="I31" s="150"/>
      <c r="J31" s="150"/>
      <c r="K31" s="150"/>
      <c r="L31" s="150"/>
      <c r="M31" s="150"/>
      <c r="N31" s="220"/>
      <c r="O31" s="150"/>
      <c r="P31" s="150"/>
      <c r="Q31" s="150"/>
      <c r="R31" s="149"/>
      <c r="S31" s="150"/>
      <c r="T31" s="149"/>
      <c r="U31" s="243"/>
    </row>
    <row r="32" spans="1:21" ht="16.5">
      <c r="A32" s="158"/>
      <c r="B32" s="150"/>
      <c r="C32" s="150"/>
      <c r="D32" s="150"/>
      <c r="E32" s="158"/>
      <c r="F32" s="150"/>
      <c r="G32" s="150"/>
      <c r="H32" s="150"/>
      <c r="I32" s="150"/>
      <c r="J32" s="150"/>
      <c r="K32" s="150"/>
      <c r="L32" s="150"/>
      <c r="M32" s="150"/>
      <c r="N32" s="220"/>
      <c r="O32" s="150"/>
      <c r="P32" s="150"/>
      <c r="Q32" s="150"/>
      <c r="R32" s="149"/>
      <c r="S32" s="150"/>
      <c r="T32" s="149"/>
      <c r="U32" s="243"/>
    </row>
    <row r="33" spans="1:21" ht="16.5">
      <c r="A33" s="158" t="s">
        <v>200</v>
      </c>
      <c r="B33" s="150" t="s">
        <v>304</v>
      </c>
      <c r="C33" s="150"/>
      <c r="D33" s="150"/>
      <c r="E33" s="158" t="s">
        <v>380</v>
      </c>
      <c r="F33" s="150"/>
      <c r="G33" s="158" t="s">
        <v>381</v>
      </c>
      <c r="H33" s="150"/>
      <c r="I33" s="150"/>
      <c r="J33" s="199">
        <v>17552.5099723503</v>
      </c>
      <c r="K33" s="150"/>
      <c r="L33" s="205">
        <v>17552.5099723503</v>
      </c>
      <c r="M33" s="150"/>
      <c r="N33" s="365">
        <f>+'Juris Factors'!D34</f>
        <v>0.965352342782816</v>
      </c>
      <c r="O33" s="150"/>
      <c r="P33" s="203">
        <f>+L33*N33</f>
        <v>16944.356623527103</v>
      </c>
      <c r="Q33" s="150"/>
      <c r="R33" s="149"/>
      <c r="S33" s="203">
        <f>+P33</f>
        <v>16944.356623527103</v>
      </c>
      <c r="T33" s="149"/>
      <c r="U33" s="243"/>
    </row>
    <row r="34" spans="1:21" ht="16.5">
      <c r="A34" s="158"/>
      <c r="B34" s="150"/>
      <c r="C34" s="150"/>
      <c r="D34" s="150"/>
      <c r="E34" s="158"/>
      <c r="F34" s="150"/>
      <c r="G34" s="150"/>
      <c r="H34" s="150"/>
      <c r="I34" s="150"/>
      <c r="J34" s="150"/>
      <c r="K34" s="150"/>
      <c r="L34" s="150"/>
      <c r="M34" s="150"/>
      <c r="N34" s="220"/>
      <c r="O34" s="150"/>
      <c r="P34" s="150"/>
      <c r="Q34" s="150"/>
      <c r="R34" s="149"/>
      <c r="S34" s="149"/>
      <c r="T34" s="149"/>
      <c r="U34" s="243"/>
    </row>
    <row r="35" spans="1:20" ht="16.5">
      <c r="A35" s="158" t="s">
        <v>202</v>
      </c>
      <c r="B35" s="150" t="s">
        <v>305</v>
      </c>
      <c r="C35" s="150"/>
      <c r="D35" s="150"/>
      <c r="E35" s="158" t="s">
        <v>122</v>
      </c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49"/>
      <c r="S35" s="149"/>
      <c r="T35" s="149"/>
    </row>
    <row r="36" spans="1:20" ht="16.5">
      <c r="A36" s="158"/>
      <c r="B36" s="150"/>
      <c r="C36" s="150"/>
      <c r="D36" s="150"/>
      <c r="E36" s="158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49"/>
      <c r="S36" s="149"/>
      <c r="T36" s="149"/>
    </row>
    <row r="37" spans="1:20" ht="16.5">
      <c r="A37" s="158" t="s">
        <v>204</v>
      </c>
      <c r="B37" s="150" t="s">
        <v>306</v>
      </c>
      <c r="C37" s="150"/>
      <c r="D37" s="150"/>
      <c r="E37" s="158" t="s">
        <v>122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49"/>
      <c r="S37" s="149"/>
      <c r="T37" s="149"/>
    </row>
    <row r="38" spans="1:20" ht="16.5">
      <c r="A38" s="158"/>
      <c r="B38" s="150"/>
      <c r="C38" s="150"/>
      <c r="D38" s="150"/>
      <c r="E38" s="158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49"/>
      <c r="S38" s="149"/>
      <c r="T38" s="149"/>
    </row>
    <row r="39" spans="1:20" ht="16.5">
      <c r="A39" s="158" t="s">
        <v>206</v>
      </c>
      <c r="B39" s="150" t="s">
        <v>307</v>
      </c>
      <c r="C39" s="150"/>
      <c r="D39" s="150"/>
      <c r="E39" s="158" t="s">
        <v>122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49"/>
      <c r="S39" s="149"/>
      <c r="T39" s="149"/>
    </row>
    <row r="40" spans="1:20" ht="16.5">
      <c r="A40" s="158"/>
      <c r="B40" s="150"/>
      <c r="C40" s="150"/>
      <c r="D40" s="150"/>
      <c r="E40" s="158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49"/>
      <c r="S40" s="149"/>
      <c r="T40" s="149"/>
    </row>
    <row r="41" spans="1:20" ht="16.5">
      <c r="A41" s="158" t="s">
        <v>208</v>
      </c>
      <c r="B41" s="150" t="s">
        <v>308</v>
      </c>
      <c r="C41" s="150"/>
      <c r="D41" s="150"/>
      <c r="E41" s="158" t="s">
        <v>122</v>
      </c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49"/>
      <c r="S41" s="149"/>
      <c r="T41" s="149"/>
    </row>
    <row r="42" spans="1:20" ht="17.25" thickBot="1">
      <c r="A42" s="158"/>
      <c r="B42" s="150"/>
      <c r="C42" s="150"/>
      <c r="D42" s="150"/>
      <c r="E42" s="150"/>
      <c r="F42" s="150"/>
      <c r="G42" s="150"/>
      <c r="H42" s="150"/>
      <c r="I42" s="150"/>
      <c r="J42" s="204">
        <f>SUM(J21:J41)</f>
        <v>17723.532972350302</v>
      </c>
      <c r="K42" s="150"/>
      <c r="L42" s="204">
        <f>SUM(L21:L41)</f>
        <v>17723.532972350302</v>
      </c>
      <c r="M42" s="150"/>
      <c r="N42" s="150"/>
      <c r="O42" s="150"/>
      <c r="P42" s="204">
        <f>SUM(P21:P41)</f>
        <v>17109.941816091097</v>
      </c>
      <c r="Q42" s="150"/>
      <c r="R42" s="149"/>
      <c r="S42" s="204">
        <f>SUM(S21:S41)</f>
        <v>17109.941816091097</v>
      </c>
      <c r="T42" s="149"/>
    </row>
    <row r="43" spans="1:20" ht="17.25" thickTop="1">
      <c r="A43" s="158" t="s">
        <v>210</v>
      </c>
      <c r="B43" s="150" t="s">
        <v>66</v>
      </c>
      <c r="C43" s="150"/>
      <c r="D43" s="150"/>
      <c r="E43" s="150"/>
      <c r="F43" s="150"/>
      <c r="G43" s="150"/>
      <c r="H43" s="150"/>
      <c r="I43" s="150"/>
      <c r="J43" s="164"/>
      <c r="K43" s="150"/>
      <c r="L43" s="164"/>
      <c r="M43" s="150"/>
      <c r="N43" s="150"/>
      <c r="O43" s="150"/>
      <c r="P43" s="164"/>
      <c r="Q43" s="150"/>
      <c r="R43" s="149"/>
      <c r="S43" s="165"/>
      <c r="T43" s="149"/>
    </row>
    <row r="44" spans="1:20" ht="16.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</row>
    <row r="45" spans="1:20" ht="16.5">
      <c r="A45" s="149"/>
      <c r="B45" s="149"/>
      <c r="C45" s="149"/>
      <c r="D45" s="149"/>
      <c r="E45" s="216"/>
      <c r="F45" s="216"/>
      <c r="G45" s="217"/>
      <c r="H45" s="216"/>
      <c r="K45" s="149"/>
      <c r="L45" s="149"/>
      <c r="M45" s="149"/>
      <c r="N45" s="149"/>
      <c r="O45" s="149"/>
      <c r="P45" s="149"/>
      <c r="Q45" s="149"/>
      <c r="R45" s="149"/>
      <c r="S45" s="149"/>
      <c r="T45" s="149"/>
    </row>
    <row r="46" spans="1:20" ht="16.5">
      <c r="A46" s="149"/>
      <c r="B46" s="149"/>
      <c r="C46" s="149"/>
      <c r="D46" s="149"/>
      <c r="E46" s="216"/>
      <c r="F46" s="216"/>
      <c r="G46" s="217"/>
      <c r="H46" s="216"/>
      <c r="K46" s="149"/>
      <c r="L46" s="149"/>
      <c r="M46" s="149"/>
      <c r="N46" s="149"/>
      <c r="O46" s="149"/>
      <c r="P46" s="149"/>
      <c r="Q46" s="149"/>
      <c r="R46" s="149"/>
      <c r="S46" s="149"/>
      <c r="T46" s="149"/>
    </row>
    <row r="47" spans="1:20" ht="16.5">
      <c r="A47" s="149"/>
      <c r="B47" s="149"/>
      <c r="C47" s="149"/>
      <c r="D47" s="149"/>
      <c r="E47" s="216"/>
      <c r="F47" s="216"/>
      <c r="G47" s="217"/>
      <c r="H47" s="216"/>
      <c r="K47" s="149"/>
      <c r="L47" s="149"/>
      <c r="M47" s="149"/>
      <c r="N47" s="149"/>
      <c r="O47" s="149"/>
      <c r="P47" s="149"/>
      <c r="Q47" s="149"/>
      <c r="R47" s="149"/>
      <c r="S47" s="149"/>
      <c r="T47" s="149"/>
    </row>
    <row r="48" spans="1:20" ht="16.5">
      <c r="A48" s="149"/>
      <c r="B48" s="149"/>
      <c r="C48" s="149"/>
      <c r="D48" s="149"/>
      <c r="E48" s="216"/>
      <c r="F48" s="216"/>
      <c r="G48" s="216"/>
      <c r="H48" s="216"/>
      <c r="K48" s="149"/>
      <c r="L48" s="149"/>
      <c r="M48" s="149"/>
      <c r="N48" s="149"/>
      <c r="O48" s="149"/>
      <c r="P48" s="149"/>
      <c r="Q48" s="149"/>
      <c r="R48" s="149"/>
      <c r="S48" s="149"/>
      <c r="T48" s="149"/>
    </row>
    <row r="49" spans="1:20" ht="16.5">
      <c r="A49" s="150"/>
      <c r="B49" s="150"/>
      <c r="C49" s="150"/>
      <c r="D49" s="150"/>
      <c r="E49" s="218"/>
      <c r="F49" s="218"/>
      <c r="G49" s="326"/>
      <c r="H49" s="218"/>
      <c r="K49" s="150"/>
      <c r="L49" s="150"/>
      <c r="M49" s="150"/>
      <c r="N49" s="150"/>
      <c r="O49" s="150"/>
      <c r="P49" s="150"/>
      <c r="Q49" s="150"/>
      <c r="R49" s="149"/>
      <c r="S49" s="149"/>
      <c r="T49" s="149"/>
    </row>
    <row r="50" spans="1:20" ht="16.5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49"/>
      <c r="S50" s="149"/>
      <c r="T50" s="149"/>
    </row>
    <row r="51" spans="1:20" ht="17.25" thickBot="1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</row>
    <row r="52" spans="1:20" ht="16.5">
      <c r="A52" s="155" t="s">
        <v>13</v>
      </c>
      <c r="B52" s="155"/>
      <c r="C52" s="155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55" t="s">
        <v>14</v>
      </c>
      <c r="O52" s="155"/>
      <c r="P52" s="163" t="s">
        <v>92</v>
      </c>
      <c r="Q52" s="163"/>
      <c r="R52" s="155"/>
      <c r="S52" s="155"/>
      <c r="T52" s="155"/>
    </row>
    <row r="53" spans="1:20" ht="16.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</row>
    <row r="54" spans="1:20" ht="409.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</row>
    <row r="58" spans="5:8" ht="16.5">
      <c r="E58" s="216"/>
      <c r="F58" s="216"/>
      <c r="G58" s="217"/>
      <c r="H58" s="216"/>
    </row>
    <row r="59" spans="5:8" ht="16.5">
      <c r="E59" s="216"/>
      <c r="F59" s="216"/>
      <c r="G59" s="217"/>
      <c r="H59" s="216"/>
    </row>
    <row r="60" spans="5:8" ht="16.5">
      <c r="E60" s="216"/>
      <c r="F60" s="216"/>
      <c r="G60" s="217"/>
      <c r="H60" s="216"/>
    </row>
    <row r="61" spans="5:8" ht="16.5">
      <c r="E61" s="216"/>
      <c r="F61" s="216"/>
      <c r="G61" s="216"/>
      <c r="H61" s="216"/>
    </row>
    <row r="62" spans="5:8" ht="16.5">
      <c r="E62" s="218"/>
      <c r="F62" s="218"/>
      <c r="G62" s="219"/>
      <c r="H62" s="218"/>
    </row>
  </sheetData>
  <sheetProtection/>
  <mergeCells count="1">
    <mergeCell ref="D11:F11"/>
  </mergeCells>
  <printOptions horizontalCentered="1"/>
  <pageMargins left="0.5" right="0.5" top="0.75" bottom="0.25" header="0" footer="0"/>
  <pageSetup horizontalDpi="600" verticalDpi="600" orientation="landscape" scale="50" r:id="rId1"/>
  <ignoredErrors>
    <ignoredError sqref="N22:S22 N26:S33 N25:S25 N23:S23 N24:S24 N21:S21" unlockedFormula="1"/>
    <ignoredError sqref="A21:A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2016-04-11T13:45:25Z</dcterms:created>
  <dcterms:modified xsi:type="dcterms:W3CDTF">2016-04-14T12:16:10Z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