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" windowWidth="15180" windowHeight="8832" activeTab="0"/>
  </bookViews>
  <sheets>
    <sheet name="Performance Guaranty PVRR" sheetId="1" r:id="rId1"/>
  </sheets>
  <externalReferences>
    <externalReference r:id="rId4"/>
    <externalReference r:id="rId5"/>
  </externalReferences>
  <definedNames>
    <definedName name="_xlnm.Print_Area" localSheetId="0">'Performance Guaranty PVRR'!$A$7:$S$48</definedName>
  </definedNames>
  <calcPr fullCalcOnLoad="1"/>
</workbook>
</file>

<file path=xl/sharedStrings.xml><?xml version="1.0" encoding="utf-8"?>
<sst xmlns="http://schemas.openxmlformats.org/spreadsheetml/2006/main" count="34" uniqueCount="34">
  <si>
    <t>Investment</t>
  </si>
  <si>
    <t>Tax Dep Rate</t>
  </si>
  <si>
    <t>Book Dep Rate</t>
  </si>
  <si>
    <t>Tax Dep</t>
  </si>
  <si>
    <t>Book Dep</t>
  </si>
  <si>
    <t>Accum Tax Dep</t>
  </si>
  <si>
    <t>Accum Book Dep</t>
  </si>
  <si>
    <t>Deferred Taxes</t>
  </si>
  <si>
    <t>Beginning Rate Base</t>
  </si>
  <si>
    <t>Ending Rate Base</t>
  </si>
  <si>
    <t>Debt Return</t>
  </si>
  <si>
    <t>Current Taxes</t>
  </si>
  <si>
    <t>Year</t>
  </si>
  <si>
    <t>Prop Tax &amp; Ins</t>
  </si>
  <si>
    <t>Total Rev Req</t>
  </si>
  <si>
    <t>PV Rev Req</t>
  </si>
  <si>
    <t>Cume PV Rev Req</t>
  </si>
  <si>
    <t>Avg Rate Base</t>
  </si>
  <si>
    <t>Ratio</t>
  </si>
  <si>
    <t>Cost</t>
  </si>
  <si>
    <t>WACC</t>
  </si>
  <si>
    <t>Pre-Tax</t>
  </si>
  <si>
    <t>Aft-Tax</t>
  </si>
  <si>
    <t xml:space="preserve">    Debt</t>
  </si>
  <si>
    <t xml:space="preserve">    Equity</t>
  </si>
  <si>
    <t>PVRR-Factor =</t>
  </si>
  <si>
    <t>Equity Return</t>
  </si>
  <si>
    <t>Preliminary Weighted Average COC:</t>
  </si>
  <si>
    <t xml:space="preserve">Wt. </t>
  </si>
  <si>
    <t>Cost Rate</t>
  </si>
  <si>
    <t xml:space="preserve">Update to Tariff Sheet No. 9.951 </t>
  </si>
  <si>
    <t>PERFORMANCE GUARANTEE</t>
  </si>
  <si>
    <t>OPC 015474</t>
  </si>
  <si>
    <t>FPL RC-16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</si>
</sst>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_);_(* \(#,##0\);_(* &quot;-&quot;??_);_(@_)"/>
    <numFmt numFmtId="168" formatCode="0.0%"/>
    <numFmt numFmtId="169" formatCode="0.0"/>
    <numFmt numFmtId="170" formatCode="0.000"/>
    <numFmt numFmtId="171" formatCode="0.0000"/>
    <numFmt numFmtId="172" formatCode="0.0000%"/>
    <numFmt numFmtId="173" formatCode="0.000%"/>
    <numFmt numFmtId="174" formatCode="&quot;$&quot;#,##0.0_);[Red]\(&quot;$&quot;#,##0.0\)"/>
    <numFmt numFmtId="175" formatCode="#,##0.000_);\(#,##0.000\)"/>
    <numFmt numFmtId="176" formatCode="#,##0.0000_);\(#,##0.0000\)"/>
  </numFmts>
  <fonts count="51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u val="singleAccounting"/>
      <sz val="10"/>
      <name val="Arial"/>
      <family val="2"/>
    </font>
    <font>
      <u val="double"/>
      <sz val="10"/>
      <name val="Arial"/>
      <family val="2"/>
    </font>
    <font>
      <b/>
      <u val="double"/>
      <sz val="10"/>
      <name val="Arial"/>
      <family val="2"/>
    </font>
    <font>
      <u val="singleAccounting"/>
      <sz val="10"/>
      <name val="Arial"/>
      <family val="2"/>
    </font>
    <font>
      <b/>
      <u val="single"/>
      <sz val="11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ashed"/>
    </border>
    <border>
      <left style="thin"/>
      <right style="thick"/>
      <top style="dashed"/>
      <bottom style="dashed"/>
    </border>
    <border>
      <left style="thin"/>
      <right style="thick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dashed"/>
    </border>
    <border>
      <left style="medium"/>
      <right style="thick"/>
      <top style="dashed"/>
      <bottom style="dashed"/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70" fontId="0" fillId="0" borderId="0" xfId="0" applyNumberFormat="1" applyAlignment="1">
      <alignment/>
    </xf>
    <xf numFmtId="43" fontId="10" fillId="33" borderId="10" xfId="42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10" fontId="1" fillId="0" borderId="10" xfId="57" applyNumberFormat="1" applyFont="1" applyFill="1" applyBorder="1" applyAlignment="1">
      <alignment/>
    </xf>
    <xf numFmtId="10" fontId="10" fillId="0" borderId="10" xfId="57" applyNumberFormat="1" applyFont="1" applyFill="1" applyBorder="1" applyAlignment="1">
      <alignment/>
    </xf>
    <xf numFmtId="43" fontId="10" fillId="0" borderId="1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0" fontId="0" fillId="0" borderId="10" xfId="57" applyNumberFormat="1" applyFont="1" applyFill="1" applyBorder="1" applyAlignment="1">
      <alignment/>
    </xf>
    <xf numFmtId="43" fontId="0" fillId="0" borderId="10" xfId="0" applyNumberFormat="1" applyFill="1" applyBorder="1" applyAlignment="1">
      <alignment/>
    </xf>
    <xf numFmtId="167" fontId="0" fillId="0" borderId="14" xfId="42" applyNumberFormat="1" applyFont="1" applyFill="1" applyBorder="1" applyAlignment="1">
      <alignment/>
    </xf>
    <xf numFmtId="167" fontId="0" fillId="0" borderId="15" xfId="42" applyNumberFormat="1" applyFon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1" fillId="0" borderId="15" xfId="42" applyNumberFormat="1" applyFont="1" applyFill="1" applyBorder="1" applyAlignment="1">
      <alignment/>
    </xf>
    <xf numFmtId="167" fontId="1" fillId="0" borderId="16" xfId="0" applyNumberFormat="1" applyFont="1" applyFill="1" applyBorder="1" applyAlignment="1">
      <alignment/>
    </xf>
    <xf numFmtId="167" fontId="0" fillId="0" borderId="17" xfId="42" applyNumberFormat="1" applyFont="1" applyFill="1" applyBorder="1" applyAlignment="1">
      <alignment/>
    </xf>
    <xf numFmtId="167" fontId="0" fillId="0" borderId="18" xfId="42" applyNumberFormat="1" applyFont="1" applyFill="1" applyBorder="1" applyAlignment="1">
      <alignment/>
    </xf>
    <xf numFmtId="167" fontId="0" fillId="0" borderId="18" xfId="0" applyNumberFormat="1" applyFill="1" applyBorder="1" applyAlignment="1">
      <alignment/>
    </xf>
    <xf numFmtId="167" fontId="1" fillId="0" borderId="18" xfId="42" applyNumberFormat="1" applyFont="1" applyFill="1" applyBorder="1" applyAlignment="1">
      <alignment/>
    </xf>
    <xf numFmtId="167" fontId="1" fillId="0" borderId="19" xfId="0" applyNumberFormat="1" applyFont="1" applyFill="1" applyBorder="1" applyAlignment="1">
      <alignment/>
    </xf>
    <xf numFmtId="166" fontId="0" fillId="0" borderId="18" xfId="42" applyNumberFormat="1" applyFont="1" applyFill="1" applyBorder="1" applyAlignment="1">
      <alignment/>
    </xf>
    <xf numFmtId="167" fontId="0" fillId="0" borderId="20" xfId="42" applyNumberFormat="1" applyFont="1" applyFill="1" applyBorder="1" applyAlignment="1">
      <alignment/>
    </xf>
    <xf numFmtId="166" fontId="0" fillId="0" borderId="21" xfId="42" applyNumberFormat="1" applyFont="1" applyFill="1" applyBorder="1" applyAlignment="1">
      <alignment/>
    </xf>
    <xf numFmtId="167" fontId="0" fillId="0" borderId="21" xfId="42" applyNumberFormat="1" applyFont="1" applyFill="1" applyBorder="1" applyAlignment="1">
      <alignment/>
    </xf>
    <xf numFmtId="167" fontId="0" fillId="0" borderId="21" xfId="0" applyNumberFormat="1" applyFill="1" applyBorder="1" applyAlignment="1">
      <alignment/>
    </xf>
    <xf numFmtId="167" fontId="1" fillId="0" borderId="21" xfId="42" applyNumberFormat="1" applyFont="1" applyFill="1" applyBorder="1" applyAlignment="1">
      <alignment/>
    </xf>
    <xf numFmtId="167" fontId="1" fillId="0" borderId="2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0" xfId="0" applyFill="1" applyBorder="1" applyAlignment="1">
      <alignment/>
    </xf>
    <xf numFmtId="43" fontId="5" fillId="0" borderId="0" xfId="42" applyFont="1" applyFill="1" applyBorder="1" applyAlignment="1">
      <alignment horizontal="center"/>
    </xf>
    <xf numFmtId="43" fontId="5" fillId="0" borderId="13" xfId="42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1" fillId="0" borderId="25" xfId="0" applyFont="1" applyFill="1" applyBorder="1" applyAlignment="1" quotePrefix="1">
      <alignment horizontal="left"/>
    </xf>
    <xf numFmtId="10" fontId="0" fillId="0" borderId="0" xfId="57" applyNumberFormat="1" applyFont="1" applyFill="1" applyBorder="1" applyAlignment="1">
      <alignment/>
    </xf>
    <xf numFmtId="10" fontId="0" fillId="0" borderId="13" xfId="57" applyNumberFormat="1" applyFont="1" applyFill="1" applyBorder="1" applyAlignment="1">
      <alignment/>
    </xf>
    <xf numFmtId="10" fontId="3" fillId="0" borderId="0" xfId="57" applyNumberFormat="1" applyFont="1" applyFill="1" applyBorder="1" applyAlignment="1">
      <alignment/>
    </xf>
    <xf numFmtId="10" fontId="3" fillId="0" borderId="13" xfId="57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9" fontId="6" fillId="0" borderId="27" xfId="57" applyFont="1" applyFill="1" applyBorder="1" applyAlignment="1">
      <alignment/>
    </xf>
    <xf numFmtId="10" fontId="7" fillId="0" borderId="27" xfId="57" applyNumberFormat="1" applyFont="1" applyFill="1" applyBorder="1" applyAlignment="1">
      <alignment/>
    </xf>
    <xf numFmtId="10" fontId="7" fillId="0" borderId="22" xfId="57" applyNumberFormat="1" applyFont="1" applyFill="1" applyBorder="1" applyAlignment="1">
      <alignment/>
    </xf>
    <xf numFmtId="9" fontId="0" fillId="0" borderId="0" xfId="57" applyFont="1" applyFill="1" applyAlignment="1">
      <alignment/>
    </xf>
    <xf numFmtId="10" fontId="1" fillId="0" borderId="0" xfId="57" applyNumberFormat="1" applyFont="1" applyFill="1" applyAlignment="1">
      <alignment/>
    </xf>
    <xf numFmtId="43" fontId="8" fillId="0" borderId="28" xfId="42" applyFont="1" applyFill="1" applyBorder="1" applyAlignment="1">
      <alignment horizontal="center" wrapText="1"/>
    </xf>
    <xf numFmtId="43" fontId="8" fillId="0" borderId="29" xfId="42" applyFont="1" applyFill="1" applyBorder="1" applyAlignment="1">
      <alignment horizontal="center" wrapText="1"/>
    </xf>
    <xf numFmtId="43" fontId="8" fillId="0" borderId="29" xfId="42" applyFont="1" applyFill="1" applyBorder="1" applyAlignment="1" quotePrefix="1">
      <alignment horizontal="center" wrapText="1"/>
    </xf>
    <xf numFmtId="43" fontId="8" fillId="0" borderId="11" xfId="42" applyFont="1" applyFill="1" applyBorder="1" applyAlignment="1">
      <alignment horizontal="center" wrapText="1"/>
    </xf>
    <xf numFmtId="10" fontId="2" fillId="0" borderId="15" xfId="57" applyNumberFormat="1" applyFont="1" applyFill="1" applyBorder="1" applyAlignment="1">
      <alignment/>
    </xf>
    <xf numFmtId="10" fontId="2" fillId="0" borderId="18" xfId="57" applyNumberFormat="1" applyFont="1" applyFill="1" applyBorder="1" applyAlignment="1">
      <alignment/>
    </xf>
    <xf numFmtId="10" fontId="2" fillId="0" borderId="21" xfId="57" applyNumberFormat="1" applyFont="1" applyFill="1" applyBorder="1" applyAlignment="1">
      <alignment/>
    </xf>
    <xf numFmtId="167" fontId="0" fillId="0" borderId="14" xfId="0" applyNumberFormat="1" applyFill="1" applyBorder="1" applyAlignment="1">
      <alignment/>
    </xf>
    <xf numFmtId="167" fontId="0" fillId="0" borderId="17" xfId="0" applyNumberFormat="1" applyFill="1" applyBorder="1" applyAlignment="1">
      <alignment/>
    </xf>
    <xf numFmtId="167" fontId="0" fillId="0" borderId="20" xfId="0" applyNumberFormat="1" applyFill="1" applyBorder="1" applyAlignment="1">
      <alignment/>
    </xf>
    <xf numFmtId="43" fontId="8" fillId="0" borderId="30" xfId="42" applyFont="1" applyFill="1" applyBorder="1" applyAlignment="1">
      <alignment horizontal="center" wrapText="1"/>
    </xf>
    <xf numFmtId="0" fontId="0" fillId="0" borderId="31" xfId="0" applyFill="1" applyBorder="1" applyAlignment="1">
      <alignment/>
    </xf>
    <xf numFmtId="167" fontId="0" fillId="0" borderId="32" xfId="42" applyNumberFormat="1" applyFont="1" applyFill="1" applyBorder="1" applyAlignment="1">
      <alignment/>
    </xf>
    <xf numFmtId="167" fontId="0" fillId="0" borderId="33" xfId="42" applyNumberFormat="1" applyFont="1" applyFill="1" applyBorder="1" applyAlignment="1">
      <alignment/>
    </xf>
    <xf numFmtId="167" fontId="0" fillId="0" borderId="34" xfId="42" applyNumberFormat="1" applyFont="1" applyFill="1" applyBorder="1" applyAlignment="1">
      <alignment/>
    </xf>
    <xf numFmtId="167" fontId="0" fillId="0" borderId="32" xfId="0" applyNumberFormat="1" applyFill="1" applyBorder="1" applyAlignment="1">
      <alignment/>
    </xf>
    <xf numFmtId="167" fontId="0" fillId="0" borderId="33" xfId="0" applyNumberFormat="1" applyFill="1" applyBorder="1" applyAlignment="1">
      <alignment/>
    </xf>
    <xf numFmtId="167" fontId="0" fillId="0" borderId="34" xfId="0" applyNumberFormat="1" applyFill="1" applyBorder="1" applyAlignment="1">
      <alignment/>
    </xf>
    <xf numFmtId="10" fontId="1" fillId="0" borderId="12" xfId="57" applyNumberFormat="1" applyFont="1" applyFill="1" applyBorder="1" applyAlignment="1">
      <alignment/>
    </xf>
    <xf numFmtId="10" fontId="0" fillId="0" borderId="12" xfId="57" applyNumberFormat="1" applyFont="1" applyFill="1" applyBorder="1" applyAlignment="1">
      <alignment/>
    </xf>
    <xf numFmtId="167" fontId="1" fillId="0" borderId="14" xfId="0" applyNumberFormat="1" applyFont="1" applyFill="1" applyBorder="1" applyAlignment="1">
      <alignment/>
    </xf>
    <xf numFmtId="167" fontId="1" fillId="0" borderId="17" xfId="0" applyNumberFormat="1" applyFont="1" applyFill="1" applyBorder="1" applyAlignment="1">
      <alignment/>
    </xf>
    <xf numFmtId="167" fontId="1" fillId="0" borderId="20" xfId="0" applyNumberFormat="1" applyFont="1" applyFill="1" applyBorder="1" applyAlignment="1">
      <alignment/>
    </xf>
    <xf numFmtId="10" fontId="10" fillId="0" borderId="31" xfId="57" applyNumberFormat="1" applyFont="1" applyFill="1" applyBorder="1" applyAlignment="1">
      <alignment/>
    </xf>
    <xf numFmtId="10" fontId="0" fillId="0" borderId="31" xfId="57" applyNumberFormat="1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167" fontId="1" fillId="0" borderId="33" xfId="0" applyNumberFormat="1" applyFont="1" applyFill="1" applyBorder="1" applyAlignment="1">
      <alignment/>
    </xf>
    <xf numFmtId="167" fontId="1" fillId="0" borderId="34" xfId="0" applyNumberFormat="1" applyFont="1" applyFill="1" applyBorder="1" applyAlignment="1">
      <alignment/>
    </xf>
    <xf numFmtId="167" fontId="1" fillId="0" borderId="32" xfId="0" applyNumberFormat="1" applyFont="1" applyFill="1" applyBorder="1" applyAlignment="1">
      <alignment/>
    </xf>
    <xf numFmtId="43" fontId="8" fillId="0" borderId="39" xfId="42" applyFont="1" applyFill="1" applyBorder="1" applyAlignment="1">
      <alignment horizontal="center"/>
    </xf>
    <xf numFmtId="173" fontId="4" fillId="0" borderId="0" xfId="57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10" fontId="0" fillId="0" borderId="0" xfId="0" applyNumberFormat="1" applyAlignment="1">
      <alignment/>
    </xf>
    <xf numFmtId="0" fontId="50" fillId="34" borderId="40" xfId="0" applyFont="1" applyFill="1" applyBorder="1" applyAlignment="1" quotePrefix="1">
      <alignment horizontal="left"/>
    </xf>
    <xf numFmtId="0" fontId="50" fillId="34" borderId="40" xfId="0" applyFont="1" applyFill="1" applyBorder="1" applyAlignment="1">
      <alignment/>
    </xf>
    <xf numFmtId="10" fontId="2" fillId="35" borderId="0" xfId="57" applyNumberFormat="1" applyFont="1" applyFill="1" applyBorder="1" applyAlignment="1">
      <alignment/>
    </xf>
    <xf numFmtId="2" fontId="50" fillId="34" borderId="41" xfId="0" applyNumberFormat="1" applyFont="1" applyFill="1" applyBorder="1" applyAlignment="1">
      <alignment/>
    </xf>
    <xf numFmtId="0" fontId="12" fillId="34" borderId="0" xfId="0" applyFont="1" applyFill="1" applyAlignment="1">
      <alignment/>
    </xf>
    <xf numFmtId="0" fontId="0" fillId="34" borderId="0" xfId="0" applyFill="1" applyAlignment="1">
      <alignment/>
    </xf>
    <xf numFmtId="6" fontId="0" fillId="34" borderId="0" xfId="0" applyNumberFormat="1" applyFill="1" applyAlignment="1">
      <alignment/>
    </xf>
    <xf numFmtId="10" fontId="49" fillId="35" borderId="0" xfId="57" applyNumberFormat="1" applyFont="1" applyFill="1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" fillId="0" borderId="0" xfId="0" applyFont="1" applyAlignment="1">
      <alignment/>
    </xf>
    <xf numFmtId="43" fontId="5" fillId="0" borderId="0" xfId="42" applyFont="1" applyFill="1" applyBorder="1" applyAlignment="1">
      <alignment horizontal="center"/>
    </xf>
    <xf numFmtId="43" fontId="5" fillId="0" borderId="13" xfId="42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xs0j1z\AppData\Local\Microsoft\Windows\Temporary%20Internet%20Files\Content.Outlook\2UNSYBL1\Distribution%20Substation%20Rental%20Charge-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terwoven\WorkSite\Macros\iManO2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Summary Rental Charge"/>
      <sheetName val="Summary Termination Fees"/>
      <sheetName val="Annual Revenue Requirements"/>
      <sheetName val="Calculation of In-Service Cost"/>
      <sheetName val="Calculation of Average Ratebase"/>
      <sheetName val="Calculation of Anual Dep. Exp."/>
      <sheetName val="Calculation of Deferred Taxes"/>
      <sheetName val="Assumptions"/>
      <sheetName val="Termination Fee "/>
      <sheetName val="Term. Fee 5 year Extentions"/>
      <sheetName val="MAINTENANCE"/>
      <sheetName val="A&amp;G"/>
      <sheetName val="CUSTOMER SERVICE"/>
      <sheetName val="COS-NOI"/>
      <sheetName val="COS-Rate Base"/>
      <sheetName val="FACILITY RENTAL % ALLOCATION"/>
      <sheetName val="LTDS Rental - In Place Value"/>
      <sheetName val="LTDS Rental Revenue"/>
      <sheetName val="Sheet1"/>
    </sheetNames>
    <sheetDataSet>
      <sheetData sheetId="8">
        <row r="12">
          <cell r="D12">
            <v>0.115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52"/>
  <sheetViews>
    <sheetView tabSelected="1"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3" sqref="J3"/>
    </sheetView>
  </sheetViews>
  <sheetFormatPr defaultColWidth="9.140625" defaultRowHeight="12.75"/>
  <cols>
    <col min="1" max="1" width="12.421875" style="0" customWidth="1"/>
    <col min="2" max="2" width="10.421875" style="0" bestFit="1" customWidth="1"/>
    <col min="3" max="3" width="8.421875" style="0" bestFit="1" customWidth="1"/>
    <col min="4" max="4" width="13.28125" style="0" bestFit="1" customWidth="1"/>
    <col min="5" max="5" width="9.7109375" style="0" customWidth="1"/>
    <col min="6" max="6" width="10.421875" style="0" bestFit="1" customWidth="1"/>
    <col min="7" max="9" width="9.7109375" style="0" bestFit="1" customWidth="1"/>
    <col min="10" max="10" width="9.00390625" style="0" customWidth="1"/>
    <col min="11" max="11" width="5.8515625" style="0" bestFit="1" customWidth="1"/>
    <col min="12" max="12" width="9.421875" style="0" customWidth="1"/>
    <col min="13" max="13" width="8.00390625" style="0" customWidth="1"/>
    <col min="14" max="14" width="11.28125" style="0" customWidth="1"/>
    <col min="15" max="15" width="7.57421875" style="0" bestFit="1" customWidth="1"/>
    <col min="16" max="16" width="9.00390625" style="0" bestFit="1" customWidth="1"/>
    <col min="17" max="17" width="10.140625" style="0" customWidth="1"/>
    <col min="18" max="18" width="7.7109375" style="0" bestFit="1" customWidth="1"/>
    <col min="19" max="19" width="9.8515625" style="0" bestFit="1" customWidth="1"/>
    <col min="20" max="20" width="4.421875" style="0" customWidth="1"/>
    <col min="21" max="21" width="24.421875" style="0" bestFit="1" customWidth="1"/>
    <col min="22" max="22" width="11.00390625" style="0" bestFit="1" customWidth="1"/>
    <col min="23" max="23" width="12.140625" style="0" bestFit="1" customWidth="1"/>
  </cols>
  <sheetData>
    <row r="1" s="94" customFormat="1" ht="12.75">
      <c r="A1" s="94" t="s">
        <v>32</v>
      </c>
    </row>
    <row r="2" s="94" customFormat="1" ht="12.75">
      <c r="A2" s="94" t="s">
        <v>33</v>
      </c>
    </row>
    <row r="3" s="94" customFormat="1" ht="12.75"/>
    <row r="4" ht="21">
      <c r="A4" s="93" t="s">
        <v>31</v>
      </c>
    </row>
    <row r="5" ht="15">
      <c r="A5" s="92">
        <v>2017</v>
      </c>
    </row>
    <row r="6" ht="13.5" thickBot="1"/>
    <row r="7" spans="1:19" ht="34.5" customHeight="1">
      <c r="A7" s="80" t="s">
        <v>12</v>
      </c>
      <c r="B7" s="48" t="s">
        <v>0</v>
      </c>
      <c r="C7" s="49" t="s">
        <v>1</v>
      </c>
      <c r="D7" s="49" t="s">
        <v>3</v>
      </c>
      <c r="E7" s="49" t="s">
        <v>2</v>
      </c>
      <c r="F7" s="49" t="s">
        <v>5</v>
      </c>
      <c r="G7" s="58" t="s">
        <v>6</v>
      </c>
      <c r="H7" s="48" t="s">
        <v>8</v>
      </c>
      <c r="I7" s="49" t="s">
        <v>9</v>
      </c>
      <c r="J7" s="58" t="s">
        <v>17</v>
      </c>
      <c r="K7" s="48" t="s">
        <v>4</v>
      </c>
      <c r="L7" s="49" t="s">
        <v>10</v>
      </c>
      <c r="M7" s="50" t="s">
        <v>26</v>
      </c>
      <c r="N7" s="49" t="s">
        <v>7</v>
      </c>
      <c r="O7" s="49" t="s">
        <v>11</v>
      </c>
      <c r="P7" s="58" t="s">
        <v>13</v>
      </c>
      <c r="Q7" s="48" t="s">
        <v>14</v>
      </c>
      <c r="R7" s="49" t="s">
        <v>15</v>
      </c>
      <c r="S7" s="51" t="s">
        <v>16</v>
      </c>
    </row>
    <row r="8" spans="1:19" ht="12.75">
      <c r="A8" s="73"/>
      <c r="B8" s="4"/>
      <c r="C8" s="5"/>
      <c r="D8" s="5"/>
      <c r="E8" s="5"/>
      <c r="F8" s="5"/>
      <c r="G8" s="59"/>
      <c r="H8" s="4"/>
      <c r="I8" s="5"/>
      <c r="J8" s="59"/>
      <c r="K8" s="4"/>
      <c r="L8" s="6">
        <f>D45</f>
        <v>0.02289546</v>
      </c>
      <c r="M8" s="6">
        <f>D46</f>
        <v>0.068563</v>
      </c>
      <c r="N8" s="7">
        <v>0.38575</v>
      </c>
      <c r="O8" s="8"/>
      <c r="P8" s="71">
        <v>0.0187</v>
      </c>
      <c r="Q8" s="66"/>
      <c r="R8" s="6">
        <f>F47</f>
        <v>0.082626536305</v>
      </c>
      <c r="S8" s="9"/>
    </row>
    <row r="9" spans="1:19" ht="12.75">
      <c r="A9" s="73"/>
      <c r="B9" s="4"/>
      <c r="C9" s="5"/>
      <c r="D9" s="5"/>
      <c r="E9" s="5"/>
      <c r="F9" s="5"/>
      <c r="G9" s="59"/>
      <c r="H9" s="4"/>
      <c r="I9" s="5"/>
      <c r="J9" s="59"/>
      <c r="K9" s="4"/>
      <c r="L9" s="10"/>
      <c r="M9" s="10"/>
      <c r="N9" s="10"/>
      <c r="O9" s="11"/>
      <c r="P9" s="72"/>
      <c r="Q9" s="67"/>
      <c r="R9" s="5"/>
      <c r="S9" s="9"/>
    </row>
    <row r="10" spans="1:19" ht="12.75">
      <c r="A10" s="74">
        <v>1</v>
      </c>
      <c r="B10" s="12">
        <v>1000</v>
      </c>
      <c r="C10" s="52">
        <f>0.0375</f>
        <v>0.0375</v>
      </c>
      <c r="D10" s="13">
        <f>C10*B10</f>
        <v>37.5</v>
      </c>
      <c r="E10" s="52">
        <f>1/30</f>
        <v>0.03333333333333333</v>
      </c>
      <c r="F10" s="13">
        <f>D10</f>
        <v>37.5</v>
      </c>
      <c r="G10" s="60">
        <f>K10</f>
        <v>33.333333333333336</v>
      </c>
      <c r="H10" s="55">
        <f>B10</f>
        <v>1000</v>
      </c>
      <c r="I10" s="14">
        <f aca="true" t="shared" si="0" ref="I10:I39">H10-K10-N10</f>
        <v>965.0593749999999</v>
      </c>
      <c r="J10" s="79">
        <f>AVERAGE(H10:I10)</f>
        <v>982.5296874999999</v>
      </c>
      <c r="K10" s="12">
        <f aca="true" t="shared" si="1" ref="K10:K39">E10*B10</f>
        <v>33.333333333333336</v>
      </c>
      <c r="L10" s="14">
        <f>L$8*J10</f>
        <v>22.495469158968746</v>
      </c>
      <c r="M10" s="14">
        <f>M$8*J10</f>
        <v>67.3651829640625</v>
      </c>
      <c r="N10" s="13">
        <f aca="true" t="shared" si="2" ref="N10:N39">(D10-K10)*N$8</f>
        <v>1.6072916666666657</v>
      </c>
      <c r="O10" s="14">
        <f aca="true" t="shared" si="3" ref="O10:O39">(M10*(N$8/(1-N$8)))-N10</f>
        <v>40.69815290539212</v>
      </c>
      <c r="P10" s="63">
        <f>P$8*H10</f>
        <v>18.700000000000003</v>
      </c>
      <c r="Q10" s="68">
        <f>SUM(K10:P10)</f>
        <v>184.19943002842336</v>
      </c>
      <c r="R10" s="15">
        <f aca="true" t="shared" si="4" ref="R10:R39">Q10/((1+R$8)^(A10-U$24))</f>
        <v>184.19943002842336</v>
      </c>
      <c r="S10" s="16">
        <f>R10+S8</f>
        <v>184.19943002842336</v>
      </c>
    </row>
    <row r="11" spans="1:19" ht="12.75">
      <c r="A11" s="75">
        <v>2</v>
      </c>
      <c r="B11" s="17">
        <f aca="true" t="shared" si="5" ref="B11:B39">B10+0</f>
        <v>1000</v>
      </c>
      <c r="C11" s="53">
        <v>0.07219</v>
      </c>
      <c r="D11" s="18">
        <f aca="true" t="shared" si="6" ref="D11:D39">C11*B11</f>
        <v>72.19</v>
      </c>
      <c r="E11" s="53">
        <f aca="true" t="shared" si="7" ref="E11:E39">1/30</f>
        <v>0.03333333333333333</v>
      </c>
      <c r="F11" s="18">
        <f aca="true" t="shared" si="8" ref="F11:F39">D11+F10</f>
        <v>109.69</v>
      </c>
      <c r="G11" s="61">
        <f aca="true" t="shared" si="9" ref="G11:G39">K11+G10</f>
        <v>66.66666666666667</v>
      </c>
      <c r="H11" s="56">
        <f>I10</f>
        <v>965.0593749999999</v>
      </c>
      <c r="I11" s="19">
        <f t="shared" si="0"/>
        <v>916.7370824999999</v>
      </c>
      <c r="J11" s="77">
        <f>AVERAGE(H11:I11)</f>
        <v>940.8982287499999</v>
      </c>
      <c r="K11" s="17">
        <f t="shared" si="1"/>
        <v>33.333333333333336</v>
      </c>
      <c r="L11" s="19">
        <f aca="true" t="shared" si="10" ref="L11:L39">L$8*J11</f>
        <v>21.542297760416474</v>
      </c>
      <c r="M11" s="19">
        <f aca="true" t="shared" si="11" ref="M11:M39">M$8*J11</f>
        <v>64.51080525778625</v>
      </c>
      <c r="N11" s="18">
        <f t="shared" si="2"/>
        <v>14.988959166666664</v>
      </c>
      <c r="O11" s="19">
        <f t="shared" si="3"/>
        <v>25.523931558919084</v>
      </c>
      <c r="P11" s="64">
        <f aca="true" t="shared" si="12" ref="P11:P39">P$8*H11</f>
        <v>18.0466103125</v>
      </c>
      <c r="Q11" s="69">
        <f aca="true" t="shared" si="13" ref="Q11:Q39">SUM(K11:P11)</f>
        <v>177.9459373896218</v>
      </c>
      <c r="R11" s="20">
        <f t="shared" si="4"/>
        <v>164.36502470829004</v>
      </c>
      <c r="S11" s="21">
        <f aca="true" t="shared" si="14" ref="S11:S39">R11+S10</f>
        <v>348.5644547367134</v>
      </c>
    </row>
    <row r="12" spans="1:19" ht="12.75">
      <c r="A12" s="75">
        <v>3</v>
      </c>
      <c r="B12" s="17">
        <f t="shared" si="5"/>
        <v>1000</v>
      </c>
      <c r="C12" s="53">
        <v>0.06677</v>
      </c>
      <c r="D12" s="18">
        <f t="shared" si="6"/>
        <v>66.77</v>
      </c>
      <c r="E12" s="53">
        <f t="shared" si="7"/>
        <v>0.03333333333333333</v>
      </c>
      <c r="F12" s="18">
        <f t="shared" si="8"/>
        <v>176.45999999999998</v>
      </c>
      <c r="G12" s="61">
        <f t="shared" si="9"/>
        <v>100</v>
      </c>
      <c r="H12" s="56">
        <f aca="true" t="shared" si="15" ref="H12:H39">I11</f>
        <v>916.7370824999999</v>
      </c>
      <c r="I12" s="19">
        <f t="shared" si="0"/>
        <v>870.5055549999998</v>
      </c>
      <c r="J12" s="77">
        <f aca="true" t="shared" si="16" ref="J12:J39">AVERAGE(H12:I12)</f>
        <v>893.6213187499999</v>
      </c>
      <c r="K12" s="17">
        <f t="shared" si="1"/>
        <v>33.333333333333336</v>
      </c>
      <c r="L12" s="19">
        <f t="shared" si="10"/>
        <v>20.459871158587873</v>
      </c>
      <c r="M12" s="19">
        <f t="shared" si="11"/>
        <v>61.269358477456244</v>
      </c>
      <c r="N12" s="18">
        <f t="shared" si="2"/>
        <v>12.898194166666663</v>
      </c>
      <c r="O12" s="19">
        <f t="shared" si="3"/>
        <v>25.57906270379121</v>
      </c>
      <c r="P12" s="64">
        <f t="shared" si="12"/>
        <v>17.14298344275</v>
      </c>
      <c r="Q12" s="69">
        <f t="shared" si="13"/>
        <v>170.68280328258533</v>
      </c>
      <c r="R12" s="20">
        <f t="shared" si="4"/>
        <v>145.62382402731924</v>
      </c>
      <c r="S12" s="21">
        <f t="shared" si="14"/>
        <v>494.18827876403265</v>
      </c>
    </row>
    <row r="13" spans="1:19" ht="12.75">
      <c r="A13" s="75">
        <v>4</v>
      </c>
      <c r="B13" s="17">
        <f t="shared" si="5"/>
        <v>1000</v>
      </c>
      <c r="C13" s="53">
        <v>0.06177</v>
      </c>
      <c r="D13" s="18">
        <f t="shared" si="6"/>
        <v>61.769999999999996</v>
      </c>
      <c r="E13" s="53">
        <f t="shared" si="7"/>
        <v>0.03333333333333333</v>
      </c>
      <c r="F13" s="18">
        <f t="shared" si="8"/>
        <v>238.22999999999996</v>
      </c>
      <c r="G13" s="61">
        <f t="shared" si="9"/>
        <v>133.33333333333334</v>
      </c>
      <c r="H13" s="56">
        <f t="shared" si="15"/>
        <v>870.5055549999998</v>
      </c>
      <c r="I13" s="19">
        <f t="shared" si="0"/>
        <v>826.2027774999998</v>
      </c>
      <c r="J13" s="77">
        <f t="shared" si="16"/>
        <v>848.3541662499998</v>
      </c>
      <c r="K13" s="17">
        <f t="shared" si="1"/>
        <v>33.333333333333336</v>
      </c>
      <c r="L13" s="19">
        <f t="shared" si="10"/>
        <v>19.42345887921022</v>
      </c>
      <c r="M13" s="19">
        <f t="shared" si="11"/>
        <v>58.16570670059874</v>
      </c>
      <c r="N13" s="18">
        <f t="shared" si="2"/>
        <v>10.969444166666664</v>
      </c>
      <c r="O13" s="19">
        <f t="shared" si="3"/>
        <v>25.55871433517455</v>
      </c>
      <c r="P13" s="64">
        <f t="shared" si="12"/>
        <v>16.2784538785</v>
      </c>
      <c r="Q13" s="69">
        <f t="shared" si="13"/>
        <v>163.7291112934835</v>
      </c>
      <c r="R13" s="20">
        <f t="shared" si="4"/>
        <v>129.02976337517043</v>
      </c>
      <c r="S13" s="21">
        <f t="shared" si="14"/>
        <v>623.2180421392031</v>
      </c>
    </row>
    <row r="14" spans="1:19" ht="12.75">
      <c r="A14" s="75">
        <v>5</v>
      </c>
      <c r="B14" s="17">
        <f t="shared" si="5"/>
        <v>1000</v>
      </c>
      <c r="C14" s="53">
        <v>0.05713</v>
      </c>
      <c r="D14" s="18">
        <f t="shared" si="6"/>
        <v>57.13</v>
      </c>
      <c r="E14" s="53">
        <f t="shared" si="7"/>
        <v>0.03333333333333333</v>
      </c>
      <c r="F14" s="18">
        <f t="shared" si="8"/>
        <v>295.35999999999996</v>
      </c>
      <c r="G14" s="61">
        <f t="shared" si="9"/>
        <v>166.66666666666669</v>
      </c>
      <c r="H14" s="56">
        <f t="shared" si="15"/>
        <v>826.2027774999998</v>
      </c>
      <c r="I14" s="19">
        <f t="shared" si="0"/>
        <v>783.6898799999998</v>
      </c>
      <c r="J14" s="77">
        <f t="shared" si="16"/>
        <v>804.9463287499998</v>
      </c>
      <c r="K14" s="17">
        <f t="shared" si="1"/>
        <v>33.333333333333336</v>
      </c>
      <c r="L14" s="19">
        <f t="shared" si="10"/>
        <v>18.42961647204247</v>
      </c>
      <c r="M14" s="19">
        <f t="shared" si="11"/>
        <v>55.189535138086235</v>
      </c>
      <c r="N14" s="18">
        <f t="shared" si="2"/>
        <v>9.179564166666667</v>
      </c>
      <c r="O14" s="19">
        <f t="shared" si="3"/>
        <v>25.479553748704546</v>
      </c>
      <c r="P14" s="64">
        <f t="shared" si="12"/>
        <v>15.449991939249998</v>
      </c>
      <c r="Q14" s="69">
        <f t="shared" si="13"/>
        <v>157.06159479808323</v>
      </c>
      <c r="R14" s="20">
        <f t="shared" si="4"/>
        <v>114.32871739791085</v>
      </c>
      <c r="S14" s="21">
        <f t="shared" si="14"/>
        <v>737.546759537114</v>
      </c>
    </row>
    <row r="15" spans="1:19" ht="12.75">
      <c r="A15" s="75">
        <v>6</v>
      </c>
      <c r="B15" s="17">
        <f t="shared" si="5"/>
        <v>1000</v>
      </c>
      <c r="C15" s="53">
        <v>0.05285</v>
      </c>
      <c r="D15" s="18">
        <f t="shared" si="6"/>
        <v>52.85</v>
      </c>
      <c r="E15" s="53">
        <f t="shared" si="7"/>
        <v>0.03333333333333333</v>
      </c>
      <c r="F15" s="18">
        <f t="shared" si="8"/>
        <v>348.21</v>
      </c>
      <c r="G15" s="61">
        <f t="shared" si="9"/>
        <v>200.00000000000003</v>
      </c>
      <c r="H15" s="56">
        <f t="shared" si="15"/>
        <v>783.6898799999998</v>
      </c>
      <c r="I15" s="19">
        <f t="shared" si="0"/>
        <v>742.8279924999997</v>
      </c>
      <c r="J15" s="77">
        <f t="shared" si="16"/>
        <v>763.2589362499998</v>
      </c>
      <c r="K15" s="17">
        <f t="shared" si="1"/>
        <v>33.333333333333336</v>
      </c>
      <c r="L15" s="19">
        <f t="shared" si="10"/>
        <v>17.47516444455442</v>
      </c>
      <c r="M15" s="19">
        <f t="shared" si="11"/>
        <v>52.331322446108736</v>
      </c>
      <c r="N15" s="18">
        <f t="shared" si="2"/>
        <v>7.528554166666666</v>
      </c>
      <c r="O15" s="19">
        <f t="shared" si="3"/>
        <v>25.335601524967764</v>
      </c>
      <c r="P15" s="64">
        <f t="shared" si="12"/>
        <v>14.655000755999998</v>
      </c>
      <c r="Q15" s="69">
        <f t="shared" si="13"/>
        <v>150.6589766716309</v>
      </c>
      <c r="R15" s="20">
        <f t="shared" si="4"/>
        <v>101.29818727286197</v>
      </c>
      <c r="S15" s="21">
        <f t="shared" si="14"/>
        <v>838.8449468099759</v>
      </c>
    </row>
    <row r="16" spans="1:19" ht="12.75">
      <c r="A16" s="75">
        <v>7</v>
      </c>
      <c r="B16" s="17">
        <f t="shared" si="5"/>
        <v>1000</v>
      </c>
      <c r="C16" s="53">
        <v>0.04888</v>
      </c>
      <c r="D16" s="18">
        <f t="shared" si="6"/>
        <v>48.88</v>
      </c>
      <c r="E16" s="53">
        <f t="shared" si="7"/>
        <v>0.03333333333333333</v>
      </c>
      <c r="F16" s="18">
        <f t="shared" si="8"/>
        <v>397.09</v>
      </c>
      <c r="G16" s="61">
        <f t="shared" si="9"/>
        <v>233.33333333333337</v>
      </c>
      <c r="H16" s="56">
        <f t="shared" si="15"/>
        <v>742.8279924999997</v>
      </c>
      <c r="I16" s="19">
        <f t="shared" si="0"/>
        <v>703.4975324999997</v>
      </c>
      <c r="J16" s="77">
        <f t="shared" si="16"/>
        <v>723.1627624999996</v>
      </c>
      <c r="K16" s="17">
        <f t="shared" si="1"/>
        <v>33.333333333333336</v>
      </c>
      <c r="L16" s="19">
        <f t="shared" si="10"/>
        <v>16.557144102308243</v>
      </c>
      <c r="M16" s="19">
        <f t="shared" si="11"/>
        <v>49.582208485287474</v>
      </c>
      <c r="N16" s="18">
        <f t="shared" si="2"/>
        <v>5.9971266666666665</v>
      </c>
      <c r="O16" s="19">
        <f t="shared" si="3"/>
        <v>25.140580982010004</v>
      </c>
      <c r="P16" s="64">
        <f t="shared" si="12"/>
        <v>13.890883459749995</v>
      </c>
      <c r="Q16" s="69">
        <f t="shared" si="13"/>
        <v>144.50127702935572</v>
      </c>
      <c r="R16" s="20">
        <f t="shared" si="4"/>
        <v>89.74281287235684</v>
      </c>
      <c r="S16" s="21">
        <f t="shared" si="14"/>
        <v>928.5877596823327</v>
      </c>
    </row>
    <row r="17" spans="1:19" ht="12.75">
      <c r="A17" s="75">
        <v>8</v>
      </c>
      <c r="B17" s="17">
        <f t="shared" si="5"/>
        <v>1000</v>
      </c>
      <c r="C17" s="53">
        <v>0.04522</v>
      </c>
      <c r="D17" s="18">
        <f t="shared" si="6"/>
        <v>45.220000000000006</v>
      </c>
      <c r="E17" s="53">
        <f t="shared" si="7"/>
        <v>0.03333333333333333</v>
      </c>
      <c r="F17" s="18">
        <f t="shared" si="8"/>
        <v>442.31</v>
      </c>
      <c r="G17" s="61">
        <f t="shared" si="9"/>
        <v>266.6666666666667</v>
      </c>
      <c r="H17" s="56">
        <f t="shared" si="15"/>
        <v>703.4975324999997</v>
      </c>
      <c r="I17" s="19">
        <f t="shared" si="0"/>
        <v>665.5789174999996</v>
      </c>
      <c r="J17" s="77">
        <f t="shared" si="16"/>
        <v>684.5382249999997</v>
      </c>
      <c r="K17" s="17">
        <f t="shared" si="1"/>
        <v>33.333333333333336</v>
      </c>
      <c r="L17" s="19">
        <f t="shared" si="10"/>
        <v>15.672817548958491</v>
      </c>
      <c r="M17" s="19">
        <f t="shared" si="11"/>
        <v>46.93399432067498</v>
      </c>
      <c r="N17" s="18">
        <f t="shared" si="2"/>
        <v>4.585281666666668</v>
      </c>
      <c r="O17" s="19">
        <f t="shared" si="3"/>
        <v>24.889343175336386</v>
      </c>
      <c r="P17" s="64">
        <f t="shared" si="12"/>
        <v>13.155403857749995</v>
      </c>
      <c r="Q17" s="69">
        <f t="shared" si="13"/>
        <v>138.57017390271986</v>
      </c>
      <c r="R17" s="20">
        <f t="shared" si="4"/>
        <v>79.49120614594595</v>
      </c>
      <c r="S17" s="21">
        <f t="shared" si="14"/>
        <v>1008.0789658282787</v>
      </c>
    </row>
    <row r="18" spans="1:19" ht="12.75">
      <c r="A18" s="75">
        <v>9</v>
      </c>
      <c r="B18" s="17">
        <f t="shared" si="5"/>
        <v>1000</v>
      </c>
      <c r="C18" s="53">
        <v>0.04462</v>
      </c>
      <c r="D18" s="18">
        <f t="shared" si="6"/>
        <v>44.62</v>
      </c>
      <c r="E18" s="53">
        <f t="shared" si="7"/>
        <v>0.03333333333333333</v>
      </c>
      <c r="F18" s="18">
        <f t="shared" si="8"/>
        <v>486.93</v>
      </c>
      <c r="G18" s="61">
        <f t="shared" si="9"/>
        <v>300</v>
      </c>
      <c r="H18" s="56">
        <f t="shared" si="15"/>
        <v>665.5789174999996</v>
      </c>
      <c r="I18" s="19">
        <f t="shared" si="0"/>
        <v>627.8917524999996</v>
      </c>
      <c r="J18" s="77">
        <f t="shared" si="16"/>
        <v>646.7353349999996</v>
      </c>
      <c r="K18" s="17">
        <f t="shared" si="1"/>
        <v>33.333333333333336</v>
      </c>
      <c r="L18" s="19">
        <f t="shared" si="10"/>
        <v>14.807302993079091</v>
      </c>
      <c r="M18" s="19">
        <f t="shared" si="11"/>
        <v>44.342114773604976</v>
      </c>
      <c r="N18" s="18">
        <f t="shared" si="2"/>
        <v>4.3538316666666645</v>
      </c>
      <c r="O18" s="19">
        <f t="shared" si="3"/>
        <v>23.493088600192305</v>
      </c>
      <c r="P18" s="64">
        <f t="shared" si="12"/>
        <v>12.446325757249994</v>
      </c>
      <c r="Q18" s="69">
        <f t="shared" si="13"/>
        <v>132.77599712412638</v>
      </c>
      <c r="R18" s="20">
        <f t="shared" si="4"/>
        <v>70.3542322995605</v>
      </c>
      <c r="S18" s="21">
        <f t="shared" si="14"/>
        <v>1078.4331981278392</v>
      </c>
    </row>
    <row r="19" spans="1:19" ht="12.75">
      <c r="A19" s="75">
        <v>10</v>
      </c>
      <c r="B19" s="17">
        <f t="shared" si="5"/>
        <v>1000</v>
      </c>
      <c r="C19" s="53">
        <v>0.04461</v>
      </c>
      <c r="D19" s="18">
        <f t="shared" si="6"/>
        <v>44.61</v>
      </c>
      <c r="E19" s="53">
        <f t="shared" si="7"/>
        <v>0.03333333333333333</v>
      </c>
      <c r="F19" s="18">
        <f t="shared" si="8"/>
        <v>531.54</v>
      </c>
      <c r="G19" s="61">
        <f t="shared" si="9"/>
        <v>333.3333333333333</v>
      </c>
      <c r="H19" s="56">
        <f t="shared" si="15"/>
        <v>627.8917524999996</v>
      </c>
      <c r="I19" s="19">
        <f t="shared" si="0"/>
        <v>590.2084449999995</v>
      </c>
      <c r="J19" s="77">
        <f t="shared" si="16"/>
        <v>609.0500987499995</v>
      </c>
      <c r="K19" s="17">
        <f t="shared" si="1"/>
        <v>33.333333333333336</v>
      </c>
      <c r="L19" s="19">
        <f t="shared" si="10"/>
        <v>13.944482173926664</v>
      </c>
      <c r="M19" s="19">
        <f t="shared" si="11"/>
        <v>41.75830192059622</v>
      </c>
      <c r="N19" s="18">
        <f t="shared" si="2"/>
        <v>4.349974166666665</v>
      </c>
      <c r="O19" s="19">
        <f t="shared" si="3"/>
        <v>21.87430742205127</v>
      </c>
      <c r="P19" s="64">
        <f t="shared" si="12"/>
        <v>11.741575771749993</v>
      </c>
      <c r="Q19" s="69">
        <f t="shared" si="13"/>
        <v>127.00197478832416</v>
      </c>
      <c r="R19" s="20">
        <f t="shared" si="4"/>
        <v>62.15877728008678</v>
      </c>
      <c r="S19" s="21">
        <f t="shared" si="14"/>
        <v>1140.591975407926</v>
      </c>
    </row>
    <row r="20" spans="1:19" ht="12.75">
      <c r="A20" s="75">
        <v>11</v>
      </c>
      <c r="B20" s="17">
        <f t="shared" si="5"/>
        <v>1000</v>
      </c>
      <c r="C20" s="53">
        <v>0.04462</v>
      </c>
      <c r="D20" s="18">
        <f t="shared" si="6"/>
        <v>44.62</v>
      </c>
      <c r="E20" s="53">
        <f t="shared" si="7"/>
        <v>0.03333333333333333</v>
      </c>
      <c r="F20" s="18">
        <f t="shared" si="8"/>
        <v>576.16</v>
      </c>
      <c r="G20" s="61">
        <f t="shared" si="9"/>
        <v>366.66666666666663</v>
      </c>
      <c r="H20" s="56">
        <f t="shared" si="15"/>
        <v>590.2084449999995</v>
      </c>
      <c r="I20" s="19">
        <f t="shared" si="0"/>
        <v>552.5212799999995</v>
      </c>
      <c r="J20" s="77">
        <f t="shared" si="16"/>
        <v>571.3648624999995</v>
      </c>
      <c r="K20" s="17">
        <f t="shared" si="1"/>
        <v>33.333333333333336</v>
      </c>
      <c r="L20" s="19">
        <f t="shared" si="10"/>
        <v>13.081661354774239</v>
      </c>
      <c r="M20" s="19">
        <f t="shared" si="11"/>
        <v>39.174489067587466</v>
      </c>
      <c r="N20" s="18">
        <f t="shared" si="2"/>
        <v>4.3538316666666645</v>
      </c>
      <c r="O20" s="19">
        <f t="shared" si="3"/>
        <v>20.247811243910245</v>
      </c>
      <c r="P20" s="64">
        <f t="shared" si="12"/>
        <v>11.036897921499992</v>
      </c>
      <c r="Q20" s="69">
        <f t="shared" si="13"/>
        <v>121.22802458777196</v>
      </c>
      <c r="R20" s="20">
        <f t="shared" si="4"/>
        <v>54.80451634661844</v>
      </c>
      <c r="S20" s="21">
        <f t="shared" si="14"/>
        <v>1195.3964917545443</v>
      </c>
    </row>
    <row r="21" spans="1:19" ht="12.75">
      <c r="A21" s="75">
        <v>12</v>
      </c>
      <c r="B21" s="17">
        <f t="shared" si="5"/>
        <v>1000</v>
      </c>
      <c r="C21" s="53">
        <v>0.04461</v>
      </c>
      <c r="D21" s="18">
        <f t="shared" si="6"/>
        <v>44.61</v>
      </c>
      <c r="E21" s="53">
        <f t="shared" si="7"/>
        <v>0.03333333333333333</v>
      </c>
      <c r="F21" s="18">
        <f t="shared" si="8"/>
        <v>620.77</v>
      </c>
      <c r="G21" s="61">
        <f t="shared" si="9"/>
        <v>399.99999999999994</v>
      </c>
      <c r="H21" s="56">
        <f t="shared" si="15"/>
        <v>552.5212799999995</v>
      </c>
      <c r="I21" s="19">
        <f t="shared" si="0"/>
        <v>514.8379724999994</v>
      </c>
      <c r="J21" s="77">
        <f t="shared" si="16"/>
        <v>533.6796262499995</v>
      </c>
      <c r="K21" s="17">
        <f t="shared" si="1"/>
        <v>33.333333333333336</v>
      </c>
      <c r="L21" s="19">
        <f t="shared" si="10"/>
        <v>12.218840535621814</v>
      </c>
      <c r="M21" s="19">
        <f t="shared" si="11"/>
        <v>36.590676214578714</v>
      </c>
      <c r="N21" s="18">
        <f t="shared" si="2"/>
        <v>4.349974166666665</v>
      </c>
      <c r="O21" s="19">
        <f t="shared" si="3"/>
        <v>18.629030065769214</v>
      </c>
      <c r="P21" s="64">
        <f t="shared" si="12"/>
        <v>10.332147935999991</v>
      </c>
      <c r="Q21" s="69">
        <f t="shared" si="13"/>
        <v>115.45400225196974</v>
      </c>
      <c r="R21" s="20">
        <f t="shared" si="4"/>
        <v>48.210723124658145</v>
      </c>
      <c r="S21" s="21">
        <f t="shared" si="14"/>
        <v>1243.6072148792025</v>
      </c>
    </row>
    <row r="22" spans="1:19" ht="12.75">
      <c r="A22" s="75">
        <v>13</v>
      </c>
      <c r="B22" s="17">
        <f t="shared" si="5"/>
        <v>1000</v>
      </c>
      <c r="C22" s="53">
        <v>0.04462</v>
      </c>
      <c r="D22" s="18">
        <f t="shared" si="6"/>
        <v>44.62</v>
      </c>
      <c r="E22" s="53">
        <f t="shared" si="7"/>
        <v>0.03333333333333333</v>
      </c>
      <c r="F22" s="18">
        <f t="shared" si="8"/>
        <v>665.39</v>
      </c>
      <c r="G22" s="61">
        <f t="shared" si="9"/>
        <v>433.33333333333326</v>
      </c>
      <c r="H22" s="56">
        <f t="shared" si="15"/>
        <v>514.8379724999994</v>
      </c>
      <c r="I22" s="19">
        <f t="shared" si="0"/>
        <v>477.1508074999994</v>
      </c>
      <c r="J22" s="77">
        <f t="shared" si="16"/>
        <v>495.9943899999994</v>
      </c>
      <c r="K22" s="17">
        <f t="shared" si="1"/>
        <v>33.333333333333336</v>
      </c>
      <c r="L22" s="19">
        <f t="shared" si="10"/>
        <v>11.356019716469385</v>
      </c>
      <c r="M22" s="19">
        <f t="shared" si="11"/>
        <v>34.006863361569955</v>
      </c>
      <c r="N22" s="18">
        <f t="shared" si="2"/>
        <v>4.3538316666666645</v>
      </c>
      <c r="O22" s="19">
        <f t="shared" si="3"/>
        <v>17.002533887628186</v>
      </c>
      <c r="P22" s="64">
        <f t="shared" si="12"/>
        <v>9.627470085749989</v>
      </c>
      <c r="Q22" s="69">
        <f t="shared" si="13"/>
        <v>109.68005205141752</v>
      </c>
      <c r="R22" s="20">
        <f t="shared" si="4"/>
        <v>42.30421426678277</v>
      </c>
      <c r="S22" s="21">
        <f t="shared" si="14"/>
        <v>1285.9114291459853</v>
      </c>
    </row>
    <row r="23" spans="1:25" ht="12.75">
      <c r="A23" s="75">
        <v>14</v>
      </c>
      <c r="B23" s="17">
        <f t="shared" si="5"/>
        <v>1000</v>
      </c>
      <c r="C23" s="53">
        <v>0.04461</v>
      </c>
      <c r="D23" s="18">
        <f t="shared" si="6"/>
        <v>44.61</v>
      </c>
      <c r="E23" s="53">
        <f t="shared" si="7"/>
        <v>0.03333333333333333</v>
      </c>
      <c r="F23" s="18">
        <f t="shared" si="8"/>
        <v>710</v>
      </c>
      <c r="G23" s="61">
        <f t="shared" si="9"/>
        <v>466.6666666666666</v>
      </c>
      <c r="H23" s="56">
        <f t="shared" si="15"/>
        <v>477.1508074999994</v>
      </c>
      <c r="I23" s="19">
        <f t="shared" si="0"/>
        <v>439.46749999999946</v>
      </c>
      <c r="J23" s="77">
        <f t="shared" si="16"/>
        <v>458.30915374999944</v>
      </c>
      <c r="K23" s="17">
        <f t="shared" si="1"/>
        <v>33.333333333333336</v>
      </c>
      <c r="L23" s="19">
        <f t="shared" si="10"/>
        <v>10.493198897316962</v>
      </c>
      <c r="M23" s="19">
        <f t="shared" si="11"/>
        <v>31.42305050856121</v>
      </c>
      <c r="N23" s="18">
        <f t="shared" si="2"/>
        <v>4.349974166666665</v>
      </c>
      <c r="O23" s="19">
        <f t="shared" si="3"/>
        <v>15.383752709487162</v>
      </c>
      <c r="P23" s="64">
        <f t="shared" si="12"/>
        <v>8.92272010024999</v>
      </c>
      <c r="Q23" s="69">
        <f t="shared" si="13"/>
        <v>103.90602971561535</v>
      </c>
      <c r="R23" s="20">
        <f t="shared" si="4"/>
        <v>37.018436149255045</v>
      </c>
      <c r="S23" s="21">
        <f t="shared" si="14"/>
        <v>1322.9298652952402</v>
      </c>
      <c r="Y23" s="1"/>
    </row>
    <row r="24" spans="1:21" ht="12.75">
      <c r="A24" s="75">
        <v>15</v>
      </c>
      <c r="B24" s="17">
        <f t="shared" si="5"/>
        <v>1000</v>
      </c>
      <c r="C24" s="53">
        <v>0.04462</v>
      </c>
      <c r="D24" s="18">
        <f t="shared" si="6"/>
        <v>44.62</v>
      </c>
      <c r="E24" s="53">
        <f t="shared" si="7"/>
        <v>0.03333333333333333</v>
      </c>
      <c r="F24" s="18">
        <f t="shared" si="8"/>
        <v>754.62</v>
      </c>
      <c r="G24" s="61">
        <f t="shared" si="9"/>
        <v>499.9999999999999</v>
      </c>
      <c r="H24" s="56">
        <f t="shared" si="15"/>
        <v>439.46749999999946</v>
      </c>
      <c r="I24" s="19">
        <f t="shared" si="0"/>
        <v>401.78033499999947</v>
      </c>
      <c r="J24" s="77">
        <f t="shared" si="16"/>
        <v>420.6239174999995</v>
      </c>
      <c r="K24" s="17">
        <f t="shared" si="1"/>
        <v>33.333333333333336</v>
      </c>
      <c r="L24" s="19">
        <f t="shared" si="10"/>
        <v>9.630378078164538</v>
      </c>
      <c r="M24" s="19">
        <f t="shared" si="11"/>
        <v>28.839237655552466</v>
      </c>
      <c r="N24" s="18">
        <f t="shared" si="2"/>
        <v>4.3538316666666645</v>
      </c>
      <c r="O24" s="19">
        <f t="shared" si="3"/>
        <v>13.75725653134614</v>
      </c>
      <c r="P24" s="64">
        <f t="shared" si="12"/>
        <v>8.218042249999991</v>
      </c>
      <c r="Q24" s="69">
        <f t="shared" si="13"/>
        <v>98.13207951506315</v>
      </c>
      <c r="R24" s="20">
        <f t="shared" si="4"/>
        <v>32.293093611674</v>
      </c>
      <c r="S24" s="21">
        <f t="shared" si="14"/>
        <v>1355.2229589069143</v>
      </c>
      <c r="U24" s="2">
        <v>1</v>
      </c>
    </row>
    <row r="25" spans="1:19" ht="12.75">
      <c r="A25" s="75">
        <v>16</v>
      </c>
      <c r="B25" s="17">
        <f t="shared" si="5"/>
        <v>1000</v>
      </c>
      <c r="C25" s="53">
        <v>0.04461</v>
      </c>
      <c r="D25" s="18">
        <f t="shared" si="6"/>
        <v>44.61</v>
      </c>
      <c r="E25" s="53">
        <f t="shared" si="7"/>
        <v>0.03333333333333333</v>
      </c>
      <c r="F25" s="18">
        <f t="shared" si="8"/>
        <v>799.23</v>
      </c>
      <c r="G25" s="61">
        <f t="shared" si="9"/>
        <v>533.3333333333333</v>
      </c>
      <c r="H25" s="56">
        <f t="shared" si="15"/>
        <v>401.78033499999947</v>
      </c>
      <c r="I25" s="19">
        <f t="shared" si="0"/>
        <v>364.0970274999995</v>
      </c>
      <c r="J25" s="77">
        <f t="shared" si="16"/>
        <v>382.9386812499995</v>
      </c>
      <c r="K25" s="17">
        <f t="shared" si="1"/>
        <v>33.333333333333336</v>
      </c>
      <c r="L25" s="19">
        <f t="shared" si="10"/>
        <v>8.767557259012113</v>
      </c>
      <c r="M25" s="19">
        <f t="shared" si="11"/>
        <v>26.255424802543715</v>
      </c>
      <c r="N25" s="18">
        <f t="shared" si="2"/>
        <v>4.349974166666665</v>
      </c>
      <c r="O25" s="19">
        <f t="shared" si="3"/>
        <v>12.138475353205113</v>
      </c>
      <c r="P25" s="64">
        <f t="shared" si="12"/>
        <v>7.513292264499991</v>
      </c>
      <c r="Q25" s="69">
        <f t="shared" si="13"/>
        <v>92.35805717926094</v>
      </c>
      <c r="R25" s="20">
        <f t="shared" si="4"/>
        <v>28.073384259548497</v>
      </c>
      <c r="S25" s="21">
        <f t="shared" si="14"/>
        <v>1383.2963431664627</v>
      </c>
    </row>
    <row r="26" spans="1:19" ht="12.75">
      <c r="A26" s="75">
        <v>17</v>
      </c>
      <c r="B26" s="17">
        <f t="shared" si="5"/>
        <v>1000</v>
      </c>
      <c r="C26" s="53">
        <v>0.04462</v>
      </c>
      <c r="D26" s="18">
        <f t="shared" si="6"/>
        <v>44.62</v>
      </c>
      <c r="E26" s="53">
        <f t="shared" si="7"/>
        <v>0.03333333333333333</v>
      </c>
      <c r="F26" s="18">
        <f t="shared" si="8"/>
        <v>843.85</v>
      </c>
      <c r="G26" s="61">
        <f t="shared" si="9"/>
        <v>566.6666666666666</v>
      </c>
      <c r="H26" s="56">
        <f t="shared" si="15"/>
        <v>364.0970274999995</v>
      </c>
      <c r="I26" s="19">
        <f t="shared" si="0"/>
        <v>326.4098624999995</v>
      </c>
      <c r="J26" s="77">
        <f t="shared" si="16"/>
        <v>345.2534449999995</v>
      </c>
      <c r="K26" s="17">
        <f t="shared" si="1"/>
        <v>33.333333333333336</v>
      </c>
      <c r="L26" s="19">
        <f t="shared" si="10"/>
        <v>7.904736439859688</v>
      </c>
      <c r="M26" s="19">
        <f t="shared" si="11"/>
        <v>23.671611949534963</v>
      </c>
      <c r="N26" s="18">
        <f t="shared" si="2"/>
        <v>4.3538316666666645</v>
      </c>
      <c r="O26" s="19">
        <f t="shared" si="3"/>
        <v>10.511979175064084</v>
      </c>
      <c r="P26" s="64">
        <f t="shared" si="12"/>
        <v>6.808614414249991</v>
      </c>
      <c r="Q26" s="69">
        <f t="shared" si="13"/>
        <v>86.58410697870872</v>
      </c>
      <c r="R26" s="20">
        <f t="shared" si="4"/>
        <v>24.30969419755217</v>
      </c>
      <c r="S26" s="21">
        <f t="shared" si="14"/>
        <v>1407.6060373640148</v>
      </c>
    </row>
    <row r="27" spans="1:19" ht="12.75">
      <c r="A27" s="75">
        <v>18</v>
      </c>
      <c r="B27" s="17">
        <f t="shared" si="5"/>
        <v>1000</v>
      </c>
      <c r="C27" s="53">
        <v>0.04461</v>
      </c>
      <c r="D27" s="18">
        <f t="shared" si="6"/>
        <v>44.61</v>
      </c>
      <c r="E27" s="53">
        <f t="shared" si="7"/>
        <v>0.03333333333333333</v>
      </c>
      <c r="F27" s="18">
        <f t="shared" si="8"/>
        <v>888.46</v>
      </c>
      <c r="G27" s="61">
        <f t="shared" si="9"/>
        <v>600</v>
      </c>
      <c r="H27" s="56">
        <f t="shared" si="15"/>
        <v>326.4098624999995</v>
      </c>
      <c r="I27" s="19">
        <f t="shared" si="0"/>
        <v>288.72655499999956</v>
      </c>
      <c r="J27" s="77">
        <f t="shared" si="16"/>
        <v>307.56820874999954</v>
      </c>
      <c r="K27" s="17">
        <f t="shared" si="1"/>
        <v>33.333333333333336</v>
      </c>
      <c r="L27" s="19">
        <f t="shared" si="10"/>
        <v>7.041915620707265</v>
      </c>
      <c r="M27" s="19">
        <f t="shared" si="11"/>
        <v>21.08779909652622</v>
      </c>
      <c r="N27" s="18">
        <f t="shared" si="2"/>
        <v>4.349974166666665</v>
      </c>
      <c r="O27" s="19">
        <f t="shared" si="3"/>
        <v>8.89319799692306</v>
      </c>
      <c r="P27" s="64">
        <f t="shared" si="12"/>
        <v>6.103864428749992</v>
      </c>
      <c r="Q27" s="69">
        <f t="shared" si="13"/>
        <v>80.81008464290653</v>
      </c>
      <c r="R27" s="20">
        <f t="shared" si="4"/>
        <v>20.956956282420602</v>
      </c>
      <c r="S27" s="21">
        <f t="shared" si="14"/>
        <v>1428.5629936464354</v>
      </c>
    </row>
    <row r="28" spans="1:19" ht="12.75">
      <c r="A28" s="75">
        <v>19</v>
      </c>
      <c r="B28" s="17">
        <f t="shared" si="5"/>
        <v>1000</v>
      </c>
      <c r="C28" s="53">
        <v>0.04462</v>
      </c>
      <c r="D28" s="18">
        <f t="shared" si="6"/>
        <v>44.62</v>
      </c>
      <c r="E28" s="53">
        <f t="shared" si="7"/>
        <v>0.03333333333333333</v>
      </c>
      <c r="F28" s="18">
        <f t="shared" si="8"/>
        <v>933.08</v>
      </c>
      <c r="G28" s="61">
        <f t="shared" si="9"/>
        <v>633.3333333333334</v>
      </c>
      <c r="H28" s="56">
        <f t="shared" si="15"/>
        <v>288.72655499999956</v>
      </c>
      <c r="I28" s="19">
        <f t="shared" si="0"/>
        <v>251.03938999999957</v>
      </c>
      <c r="J28" s="77">
        <f t="shared" si="16"/>
        <v>269.8829724999996</v>
      </c>
      <c r="K28" s="17">
        <f t="shared" si="1"/>
        <v>33.333333333333336</v>
      </c>
      <c r="L28" s="19">
        <f t="shared" si="10"/>
        <v>6.17909480155484</v>
      </c>
      <c r="M28" s="19">
        <f t="shared" si="11"/>
        <v>18.50398624351747</v>
      </c>
      <c r="N28" s="18">
        <f t="shared" si="2"/>
        <v>4.3538316666666645</v>
      </c>
      <c r="O28" s="19">
        <f t="shared" si="3"/>
        <v>7.266701818782037</v>
      </c>
      <c r="P28" s="64">
        <f t="shared" si="12"/>
        <v>5.399186578499992</v>
      </c>
      <c r="Q28" s="69">
        <f t="shared" si="13"/>
        <v>75.03613444235434</v>
      </c>
      <c r="R28" s="20">
        <f t="shared" si="4"/>
        <v>17.974401180836544</v>
      </c>
      <c r="S28" s="21">
        <f t="shared" si="14"/>
        <v>1446.537394827272</v>
      </c>
    </row>
    <row r="29" spans="1:19" ht="12.75">
      <c r="A29" s="75">
        <v>20</v>
      </c>
      <c r="B29" s="17">
        <f t="shared" si="5"/>
        <v>1000</v>
      </c>
      <c r="C29" s="53">
        <v>0.04461</v>
      </c>
      <c r="D29" s="18">
        <f t="shared" si="6"/>
        <v>44.61</v>
      </c>
      <c r="E29" s="53">
        <f t="shared" si="7"/>
        <v>0.03333333333333333</v>
      </c>
      <c r="F29" s="18">
        <f t="shared" si="8"/>
        <v>977.69</v>
      </c>
      <c r="G29" s="61">
        <f t="shared" si="9"/>
        <v>666.6666666666667</v>
      </c>
      <c r="H29" s="56">
        <f t="shared" si="15"/>
        <v>251.03938999999957</v>
      </c>
      <c r="I29" s="19">
        <f t="shared" si="0"/>
        <v>213.35608249999956</v>
      </c>
      <c r="J29" s="77">
        <f t="shared" si="16"/>
        <v>232.19773624999956</v>
      </c>
      <c r="K29" s="17">
        <f t="shared" si="1"/>
        <v>33.333333333333336</v>
      </c>
      <c r="L29" s="19">
        <f t="shared" si="10"/>
        <v>5.316273982402415</v>
      </c>
      <c r="M29" s="19">
        <f t="shared" si="11"/>
        <v>15.92017339050872</v>
      </c>
      <c r="N29" s="18">
        <f t="shared" si="2"/>
        <v>4.349974166666665</v>
      </c>
      <c r="O29" s="19">
        <f t="shared" si="3"/>
        <v>5.6479206406410105</v>
      </c>
      <c r="P29" s="64">
        <f t="shared" si="12"/>
        <v>4.694436592999993</v>
      </c>
      <c r="Q29" s="69">
        <f t="shared" si="13"/>
        <v>69.26211210655214</v>
      </c>
      <c r="R29" s="20">
        <f t="shared" si="4"/>
        <v>15.325019681428154</v>
      </c>
      <c r="S29" s="21">
        <f t="shared" si="14"/>
        <v>1461.8624145087</v>
      </c>
    </row>
    <row r="30" spans="1:19" ht="12.75">
      <c r="A30" s="75">
        <v>21</v>
      </c>
      <c r="B30" s="17">
        <f t="shared" si="5"/>
        <v>1000</v>
      </c>
      <c r="C30" s="53">
        <v>0.02231</v>
      </c>
      <c r="D30" s="18">
        <f t="shared" si="6"/>
        <v>22.31</v>
      </c>
      <c r="E30" s="53">
        <f t="shared" si="7"/>
        <v>0.03333333333333333</v>
      </c>
      <c r="F30" s="18">
        <f t="shared" si="8"/>
        <v>1000</v>
      </c>
      <c r="G30" s="61">
        <f t="shared" si="9"/>
        <v>700.0000000000001</v>
      </c>
      <c r="H30" s="56">
        <f t="shared" si="15"/>
        <v>213.35608249999956</v>
      </c>
      <c r="I30" s="19">
        <f t="shared" si="0"/>
        <v>184.27499999999955</v>
      </c>
      <c r="J30" s="77">
        <f t="shared" si="16"/>
        <v>198.81554124999957</v>
      </c>
      <c r="K30" s="17">
        <f t="shared" si="1"/>
        <v>33.333333333333336</v>
      </c>
      <c r="L30" s="19">
        <f t="shared" si="10"/>
        <v>4.551973272067715</v>
      </c>
      <c r="M30" s="19">
        <f t="shared" si="11"/>
        <v>13.631389954723721</v>
      </c>
      <c r="N30" s="18">
        <f t="shared" si="2"/>
        <v>-4.252250833333335</v>
      </c>
      <c r="O30" s="19">
        <f t="shared" si="3"/>
        <v>12.81278591682487</v>
      </c>
      <c r="P30" s="64">
        <f t="shared" si="12"/>
        <v>3.989758742749992</v>
      </c>
      <c r="Q30" s="69">
        <f t="shared" si="13"/>
        <v>64.0669903863663</v>
      </c>
      <c r="R30" s="20">
        <f t="shared" si="4"/>
        <v>13.09365715409028</v>
      </c>
      <c r="S30" s="21">
        <f t="shared" si="14"/>
        <v>1474.9560716627905</v>
      </c>
    </row>
    <row r="31" spans="1:19" ht="12.75">
      <c r="A31" s="75">
        <v>22</v>
      </c>
      <c r="B31" s="17">
        <f t="shared" si="5"/>
        <v>1000</v>
      </c>
      <c r="C31" s="22"/>
      <c r="D31" s="18">
        <f t="shared" si="6"/>
        <v>0</v>
      </c>
      <c r="E31" s="53">
        <f t="shared" si="7"/>
        <v>0.03333333333333333</v>
      </c>
      <c r="F31" s="18">
        <f t="shared" si="8"/>
        <v>1000</v>
      </c>
      <c r="G31" s="61">
        <f t="shared" si="9"/>
        <v>733.3333333333335</v>
      </c>
      <c r="H31" s="56">
        <f t="shared" si="15"/>
        <v>184.27499999999955</v>
      </c>
      <c r="I31" s="19">
        <f t="shared" si="0"/>
        <v>163.79999999999956</v>
      </c>
      <c r="J31" s="77">
        <f t="shared" si="16"/>
        <v>174.03749999999957</v>
      </c>
      <c r="K31" s="17">
        <f t="shared" si="1"/>
        <v>33.333333333333336</v>
      </c>
      <c r="L31" s="19">
        <f t="shared" si="10"/>
        <v>3.98466861974999</v>
      </c>
      <c r="M31" s="19">
        <f t="shared" si="11"/>
        <v>11.93253311249997</v>
      </c>
      <c r="N31" s="18">
        <f t="shared" si="2"/>
        <v>-12.858333333333334</v>
      </c>
      <c r="O31" s="19">
        <f t="shared" si="3"/>
        <v>20.35198355416665</v>
      </c>
      <c r="P31" s="64">
        <f t="shared" si="12"/>
        <v>3.4459424999999917</v>
      </c>
      <c r="Q31" s="69">
        <f t="shared" si="13"/>
        <v>60.1901277864166</v>
      </c>
      <c r="R31" s="20">
        <f t="shared" si="4"/>
        <v>11.36248281887692</v>
      </c>
      <c r="S31" s="21">
        <f t="shared" si="14"/>
        <v>1486.3185544816674</v>
      </c>
    </row>
    <row r="32" spans="1:19" ht="12.75">
      <c r="A32" s="75">
        <v>23</v>
      </c>
      <c r="B32" s="17">
        <f t="shared" si="5"/>
        <v>1000</v>
      </c>
      <c r="C32" s="22"/>
      <c r="D32" s="18">
        <f t="shared" si="6"/>
        <v>0</v>
      </c>
      <c r="E32" s="53">
        <f t="shared" si="7"/>
        <v>0.03333333333333333</v>
      </c>
      <c r="F32" s="18">
        <f t="shared" si="8"/>
        <v>1000</v>
      </c>
      <c r="G32" s="61">
        <f t="shared" si="9"/>
        <v>766.6666666666669</v>
      </c>
      <c r="H32" s="56">
        <f t="shared" si="15"/>
        <v>163.79999999999956</v>
      </c>
      <c r="I32" s="19">
        <f t="shared" si="0"/>
        <v>143.32499999999953</v>
      </c>
      <c r="J32" s="77">
        <f t="shared" si="16"/>
        <v>153.56249999999955</v>
      </c>
      <c r="K32" s="17">
        <f t="shared" si="1"/>
        <v>33.333333333333336</v>
      </c>
      <c r="L32" s="19">
        <f t="shared" si="10"/>
        <v>3.5158840762499897</v>
      </c>
      <c r="M32" s="19">
        <f t="shared" si="11"/>
        <v>10.528705687499968</v>
      </c>
      <c r="N32" s="18">
        <f t="shared" si="2"/>
        <v>-12.858333333333334</v>
      </c>
      <c r="O32" s="19">
        <f t="shared" si="3"/>
        <v>19.470377645833317</v>
      </c>
      <c r="P32" s="64">
        <f t="shared" si="12"/>
        <v>3.063059999999992</v>
      </c>
      <c r="Q32" s="69">
        <f t="shared" si="13"/>
        <v>57.05302740958327</v>
      </c>
      <c r="R32" s="20">
        <f t="shared" si="4"/>
        <v>9.948280009695296</v>
      </c>
      <c r="S32" s="21">
        <f t="shared" si="14"/>
        <v>1496.2668344913627</v>
      </c>
    </row>
    <row r="33" spans="1:19" ht="12.75">
      <c r="A33" s="75">
        <v>24</v>
      </c>
      <c r="B33" s="17">
        <f t="shared" si="5"/>
        <v>1000</v>
      </c>
      <c r="C33" s="22"/>
      <c r="D33" s="18">
        <f t="shared" si="6"/>
        <v>0</v>
      </c>
      <c r="E33" s="53">
        <f t="shared" si="7"/>
        <v>0.03333333333333333</v>
      </c>
      <c r="F33" s="18">
        <f t="shared" si="8"/>
        <v>1000</v>
      </c>
      <c r="G33" s="61">
        <f t="shared" si="9"/>
        <v>800.0000000000002</v>
      </c>
      <c r="H33" s="56">
        <f t="shared" si="15"/>
        <v>143.32499999999953</v>
      </c>
      <c r="I33" s="19">
        <f t="shared" si="0"/>
        <v>122.84999999999953</v>
      </c>
      <c r="J33" s="77">
        <f t="shared" si="16"/>
        <v>133.08749999999952</v>
      </c>
      <c r="K33" s="17">
        <f t="shared" si="1"/>
        <v>33.333333333333336</v>
      </c>
      <c r="L33" s="19">
        <f t="shared" si="10"/>
        <v>3.047099532749989</v>
      </c>
      <c r="M33" s="19">
        <f t="shared" si="11"/>
        <v>9.124878262499967</v>
      </c>
      <c r="N33" s="18">
        <f t="shared" si="2"/>
        <v>-12.858333333333334</v>
      </c>
      <c r="O33" s="19">
        <f t="shared" si="3"/>
        <v>18.588771737499982</v>
      </c>
      <c r="P33" s="64">
        <f t="shared" si="12"/>
        <v>2.6801774999999917</v>
      </c>
      <c r="Q33" s="69">
        <f t="shared" si="13"/>
        <v>53.915927032749934</v>
      </c>
      <c r="R33" s="20">
        <f t="shared" si="4"/>
        <v>8.683758065963456</v>
      </c>
      <c r="S33" s="21">
        <f t="shared" si="14"/>
        <v>1504.9505925573262</v>
      </c>
    </row>
    <row r="34" spans="1:19" ht="12.75">
      <c r="A34" s="75">
        <v>25</v>
      </c>
      <c r="B34" s="17">
        <f t="shared" si="5"/>
        <v>1000</v>
      </c>
      <c r="C34" s="22"/>
      <c r="D34" s="18">
        <f t="shared" si="6"/>
        <v>0</v>
      </c>
      <c r="E34" s="53">
        <f t="shared" si="7"/>
        <v>0.03333333333333333</v>
      </c>
      <c r="F34" s="18">
        <f t="shared" si="8"/>
        <v>1000</v>
      </c>
      <c r="G34" s="61">
        <f t="shared" si="9"/>
        <v>833.3333333333336</v>
      </c>
      <c r="H34" s="56">
        <f t="shared" si="15"/>
        <v>122.84999999999953</v>
      </c>
      <c r="I34" s="19">
        <f t="shared" si="0"/>
        <v>102.37499999999953</v>
      </c>
      <c r="J34" s="77">
        <f t="shared" si="16"/>
        <v>112.61249999999953</v>
      </c>
      <c r="K34" s="17">
        <f t="shared" si="1"/>
        <v>33.333333333333336</v>
      </c>
      <c r="L34" s="19">
        <f t="shared" si="10"/>
        <v>2.5783149892499893</v>
      </c>
      <c r="M34" s="19">
        <f t="shared" si="11"/>
        <v>7.721050837499967</v>
      </c>
      <c r="N34" s="18">
        <f t="shared" si="2"/>
        <v>-12.858333333333334</v>
      </c>
      <c r="O34" s="19">
        <f t="shared" si="3"/>
        <v>17.707165829166648</v>
      </c>
      <c r="P34" s="64">
        <f t="shared" si="12"/>
        <v>2.297294999999991</v>
      </c>
      <c r="Q34" s="69">
        <f t="shared" si="13"/>
        <v>50.778826655916596</v>
      </c>
      <c r="R34" s="20">
        <f t="shared" si="4"/>
        <v>7.5543070304971005</v>
      </c>
      <c r="S34" s="21">
        <f t="shared" si="14"/>
        <v>1512.5048995878233</v>
      </c>
    </row>
    <row r="35" spans="1:19" ht="12.75">
      <c r="A35" s="75">
        <v>26</v>
      </c>
      <c r="B35" s="17">
        <f t="shared" si="5"/>
        <v>1000</v>
      </c>
      <c r="C35" s="22"/>
      <c r="D35" s="18">
        <f t="shared" si="6"/>
        <v>0</v>
      </c>
      <c r="E35" s="53">
        <f t="shared" si="7"/>
        <v>0.03333333333333333</v>
      </c>
      <c r="F35" s="18">
        <f t="shared" si="8"/>
        <v>1000</v>
      </c>
      <c r="G35" s="61">
        <f t="shared" si="9"/>
        <v>866.666666666667</v>
      </c>
      <c r="H35" s="56">
        <f t="shared" si="15"/>
        <v>102.37499999999953</v>
      </c>
      <c r="I35" s="19">
        <f t="shared" si="0"/>
        <v>81.89999999999954</v>
      </c>
      <c r="J35" s="77">
        <f t="shared" si="16"/>
        <v>92.13749999999953</v>
      </c>
      <c r="K35" s="17">
        <f t="shared" si="1"/>
        <v>33.333333333333336</v>
      </c>
      <c r="L35" s="19">
        <f t="shared" si="10"/>
        <v>2.1095304457499893</v>
      </c>
      <c r="M35" s="19">
        <f t="shared" si="11"/>
        <v>6.317223412499968</v>
      </c>
      <c r="N35" s="18">
        <f t="shared" si="2"/>
        <v>-12.858333333333334</v>
      </c>
      <c r="O35" s="19">
        <f t="shared" si="3"/>
        <v>16.825559920833314</v>
      </c>
      <c r="P35" s="64">
        <f t="shared" si="12"/>
        <v>1.9144124999999914</v>
      </c>
      <c r="Q35" s="69">
        <f t="shared" si="13"/>
        <v>47.641726279083265</v>
      </c>
      <c r="R35" s="20">
        <f t="shared" si="4"/>
        <v>6.546675160312899</v>
      </c>
      <c r="S35" s="21">
        <f t="shared" si="14"/>
        <v>1519.051574748136</v>
      </c>
    </row>
    <row r="36" spans="1:19" ht="12.75">
      <c r="A36" s="75">
        <v>27</v>
      </c>
      <c r="B36" s="17">
        <f t="shared" si="5"/>
        <v>1000</v>
      </c>
      <c r="C36" s="22"/>
      <c r="D36" s="18">
        <f t="shared" si="6"/>
        <v>0</v>
      </c>
      <c r="E36" s="53">
        <f t="shared" si="7"/>
        <v>0.03333333333333333</v>
      </c>
      <c r="F36" s="18">
        <f t="shared" si="8"/>
        <v>1000</v>
      </c>
      <c r="G36" s="61">
        <f t="shared" si="9"/>
        <v>900.0000000000003</v>
      </c>
      <c r="H36" s="56">
        <f t="shared" si="15"/>
        <v>81.89999999999954</v>
      </c>
      <c r="I36" s="19">
        <f t="shared" si="0"/>
        <v>61.424999999999535</v>
      </c>
      <c r="J36" s="77">
        <f t="shared" si="16"/>
        <v>71.66249999999954</v>
      </c>
      <c r="K36" s="17">
        <f t="shared" si="1"/>
        <v>33.333333333333336</v>
      </c>
      <c r="L36" s="19">
        <f t="shared" si="10"/>
        <v>1.6407459022499895</v>
      </c>
      <c r="M36" s="19">
        <f t="shared" si="11"/>
        <v>4.913395987499968</v>
      </c>
      <c r="N36" s="18">
        <f t="shared" si="2"/>
        <v>-12.858333333333334</v>
      </c>
      <c r="O36" s="19">
        <f t="shared" si="3"/>
        <v>15.943954012499981</v>
      </c>
      <c r="P36" s="64">
        <f t="shared" si="12"/>
        <v>1.5315299999999914</v>
      </c>
      <c r="Q36" s="69">
        <f t="shared" si="13"/>
        <v>44.50462590224993</v>
      </c>
      <c r="R36" s="20">
        <f t="shared" si="4"/>
        <v>5.648846707834711</v>
      </c>
      <c r="S36" s="21">
        <f t="shared" si="14"/>
        <v>1524.7004214559709</v>
      </c>
    </row>
    <row r="37" spans="1:19" ht="12.75">
      <c r="A37" s="75">
        <v>28</v>
      </c>
      <c r="B37" s="17">
        <f t="shared" si="5"/>
        <v>1000</v>
      </c>
      <c r="C37" s="22"/>
      <c r="D37" s="18">
        <f t="shared" si="6"/>
        <v>0</v>
      </c>
      <c r="E37" s="53">
        <f t="shared" si="7"/>
        <v>0.03333333333333333</v>
      </c>
      <c r="F37" s="18">
        <f t="shared" si="8"/>
        <v>1000</v>
      </c>
      <c r="G37" s="61">
        <f t="shared" si="9"/>
        <v>933.3333333333337</v>
      </c>
      <c r="H37" s="56">
        <f t="shared" si="15"/>
        <v>61.424999999999535</v>
      </c>
      <c r="I37" s="19">
        <f t="shared" si="0"/>
        <v>40.949999999999534</v>
      </c>
      <c r="J37" s="77">
        <f t="shared" si="16"/>
        <v>51.18749999999953</v>
      </c>
      <c r="K37" s="17">
        <f t="shared" si="1"/>
        <v>33.333333333333336</v>
      </c>
      <c r="L37" s="19">
        <f t="shared" si="10"/>
        <v>1.1719613587499893</v>
      </c>
      <c r="M37" s="19">
        <f t="shared" si="11"/>
        <v>3.5095685624999677</v>
      </c>
      <c r="N37" s="18">
        <f t="shared" si="2"/>
        <v>-12.858333333333334</v>
      </c>
      <c r="O37" s="19">
        <f t="shared" si="3"/>
        <v>15.062348104166647</v>
      </c>
      <c r="P37" s="64">
        <f t="shared" si="12"/>
        <v>1.1486474999999914</v>
      </c>
      <c r="Q37" s="69">
        <f t="shared" si="13"/>
        <v>41.36752552541659</v>
      </c>
      <c r="R37" s="20">
        <f t="shared" si="4"/>
        <v>4.849930446345087</v>
      </c>
      <c r="S37" s="21">
        <f t="shared" si="14"/>
        <v>1529.550351902316</v>
      </c>
    </row>
    <row r="38" spans="1:19" ht="12.75">
      <c r="A38" s="75">
        <v>29</v>
      </c>
      <c r="B38" s="17">
        <f t="shared" si="5"/>
        <v>1000</v>
      </c>
      <c r="C38" s="22"/>
      <c r="D38" s="18">
        <f t="shared" si="6"/>
        <v>0</v>
      </c>
      <c r="E38" s="53">
        <f t="shared" si="7"/>
        <v>0.03333333333333333</v>
      </c>
      <c r="F38" s="18">
        <f t="shared" si="8"/>
        <v>1000</v>
      </c>
      <c r="G38" s="61">
        <f t="shared" si="9"/>
        <v>966.6666666666671</v>
      </c>
      <c r="H38" s="56">
        <f t="shared" si="15"/>
        <v>40.949999999999534</v>
      </c>
      <c r="I38" s="19">
        <f t="shared" si="0"/>
        <v>20.474999999999532</v>
      </c>
      <c r="J38" s="77">
        <f t="shared" si="16"/>
        <v>30.712499999999533</v>
      </c>
      <c r="K38" s="17">
        <f t="shared" si="1"/>
        <v>33.333333333333336</v>
      </c>
      <c r="L38" s="19">
        <f t="shared" si="10"/>
        <v>0.7031768152499893</v>
      </c>
      <c r="M38" s="19">
        <f t="shared" si="11"/>
        <v>2.105741137499968</v>
      </c>
      <c r="N38" s="18">
        <f t="shared" si="2"/>
        <v>-12.858333333333334</v>
      </c>
      <c r="O38" s="19">
        <f t="shared" si="3"/>
        <v>14.180742195833314</v>
      </c>
      <c r="P38" s="64">
        <f t="shared" si="12"/>
        <v>0.7657649999999914</v>
      </c>
      <c r="Q38" s="69">
        <f t="shared" si="13"/>
        <v>38.23042514858327</v>
      </c>
      <c r="R38" s="20">
        <f t="shared" si="4"/>
        <v>4.1400580115721555</v>
      </c>
      <c r="S38" s="21">
        <f t="shared" si="14"/>
        <v>1533.690409913888</v>
      </c>
    </row>
    <row r="39" spans="1:19" ht="13.5" thickBot="1">
      <c r="A39" s="76">
        <v>30</v>
      </c>
      <c r="B39" s="23">
        <f t="shared" si="5"/>
        <v>1000</v>
      </c>
      <c r="C39" s="24"/>
      <c r="D39" s="25">
        <f t="shared" si="6"/>
        <v>0</v>
      </c>
      <c r="E39" s="54">
        <f t="shared" si="7"/>
        <v>0.03333333333333333</v>
      </c>
      <c r="F39" s="25">
        <f t="shared" si="8"/>
        <v>1000</v>
      </c>
      <c r="G39" s="62">
        <f t="shared" si="9"/>
        <v>1000.0000000000005</v>
      </c>
      <c r="H39" s="57">
        <f t="shared" si="15"/>
        <v>20.474999999999532</v>
      </c>
      <c r="I39" s="26">
        <f t="shared" si="0"/>
        <v>-4.689582056016661E-13</v>
      </c>
      <c r="J39" s="78">
        <f t="shared" si="16"/>
        <v>10.237499999999532</v>
      </c>
      <c r="K39" s="23">
        <f t="shared" si="1"/>
        <v>33.333333333333336</v>
      </c>
      <c r="L39" s="26">
        <f t="shared" si="10"/>
        <v>0.23439227174998928</v>
      </c>
      <c r="M39" s="26">
        <f t="shared" si="11"/>
        <v>0.7019137124999679</v>
      </c>
      <c r="N39" s="25">
        <f t="shared" si="2"/>
        <v>-12.858333333333334</v>
      </c>
      <c r="O39" s="26">
        <f t="shared" si="3"/>
        <v>13.29913628749998</v>
      </c>
      <c r="P39" s="65">
        <f t="shared" si="12"/>
        <v>0.3828824999999913</v>
      </c>
      <c r="Q39" s="70">
        <f t="shared" si="13"/>
        <v>35.093324771749934</v>
      </c>
      <c r="R39" s="27">
        <f t="shared" si="4"/>
        <v>3.5102912103863733</v>
      </c>
      <c r="S39" s="28">
        <f t="shared" si="14"/>
        <v>1537.2007011242745</v>
      </c>
    </row>
    <row r="40" spans="1:19" ht="18" thickBo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84" t="s">
        <v>25</v>
      </c>
      <c r="R40" s="85"/>
      <c r="S40" s="87">
        <f>S39/B10</f>
        <v>1.5372007011242745</v>
      </c>
    </row>
    <row r="41" spans="1:19" ht="13.5" thickBo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</row>
    <row r="42" spans="1:19" ht="13.5">
      <c r="A42" s="30" t="s">
        <v>27</v>
      </c>
      <c r="B42" s="31"/>
      <c r="C42" s="31"/>
      <c r="D42" s="31"/>
      <c r="E42" s="31"/>
      <c r="F42" s="3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 ht="16.5">
      <c r="A43" s="32"/>
      <c r="B43" s="33"/>
      <c r="C43" s="33"/>
      <c r="D43" s="82" t="s">
        <v>28</v>
      </c>
      <c r="E43" s="95" t="s">
        <v>20</v>
      </c>
      <c r="F43" s="96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</row>
    <row r="44" spans="1:19" ht="16.5">
      <c r="A44" s="36"/>
      <c r="B44" s="34" t="s">
        <v>18</v>
      </c>
      <c r="C44" s="34" t="s">
        <v>19</v>
      </c>
      <c r="D44" s="34" t="s">
        <v>29</v>
      </c>
      <c r="E44" s="34" t="s">
        <v>21</v>
      </c>
      <c r="F44" s="35" t="s">
        <v>22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:19" ht="12.75">
      <c r="A45" s="37" t="s">
        <v>23</v>
      </c>
      <c r="B45" s="81">
        <v>0.4038</v>
      </c>
      <c r="C45" s="91">
        <v>0.0567</v>
      </c>
      <c r="D45" s="38">
        <f>C45*B45</f>
        <v>0.02289546</v>
      </c>
      <c r="E45" s="83">
        <f>+D45</f>
        <v>0.02289546</v>
      </c>
      <c r="F45" s="39">
        <f>D45*(1-N8)</f>
        <v>0.014063536304999999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</row>
    <row r="46" spans="1:19" ht="12.75">
      <c r="A46" s="37" t="s">
        <v>24</v>
      </c>
      <c r="B46" s="81">
        <v>0.5962</v>
      </c>
      <c r="C46" s="86">
        <f>'[1]Assumptions'!$D$12</f>
        <v>0.115</v>
      </c>
      <c r="D46" s="40">
        <f>+B46*C46</f>
        <v>0.068563</v>
      </c>
      <c r="E46" s="40">
        <f>+D46/(1-N8)</f>
        <v>0.11162067562067562</v>
      </c>
      <c r="F46" s="41">
        <f>+B46*C46</f>
        <v>0.068563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</row>
    <row r="47" spans="1:19" ht="13.5" thickBot="1">
      <c r="A47" s="42"/>
      <c r="B47" s="43">
        <f>B45+B46</f>
        <v>1</v>
      </c>
      <c r="C47" s="43"/>
      <c r="D47" s="44">
        <f>SUM(D45:D46)</f>
        <v>0.09145845999999999</v>
      </c>
      <c r="E47" s="44">
        <f>SUM(E45:E46)</f>
        <v>0.13451613562067563</v>
      </c>
      <c r="F47" s="45">
        <f>SUM(F45:F46)</f>
        <v>0.082626536305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:19" ht="12.75">
      <c r="A48" s="29"/>
      <c r="B48" s="46"/>
      <c r="C48" s="46"/>
      <c r="D48" s="47"/>
      <c r="E48" s="47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52" spans="1:9" ht="17.25">
      <c r="A52" s="88" t="s">
        <v>30</v>
      </c>
      <c r="B52" s="89"/>
      <c r="C52" s="89"/>
      <c r="D52" s="89"/>
      <c r="E52" s="89"/>
      <c r="F52" s="89"/>
      <c r="G52" s="90"/>
      <c r="H52" s="89"/>
      <c r="I52" s="89"/>
    </row>
  </sheetData>
  <sheetProtection/>
  <mergeCells count="1">
    <mergeCell ref="E43:F43"/>
  </mergeCells>
  <printOptions horizontalCentered="1"/>
  <pageMargins left="0.5" right="0.5" top="0.75" bottom="0.75" header="0.5" footer="0.25"/>
  <pageSetup fitToHeight="1" fitToWidth="1" horizontalDpi="600" verticalDpi="600" orientation="landscape" scale="74" r:id="rId1"/>
  <headerFooter alignWithMargins="0">
    <oddHeader>&amp;L&amp;"Arial,Bold Italic"&amp;12Confidential - Internal use ONLY&amp;C&amp;"Arial,Bold"&amp;14&amp;UPerformance Guaranty Agreement PVRR Factor</oddHeader>
    <oddFooter>&amp;L&amp;8&amp;F\&amp;A&amp;R&amp;8&amp;D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Power &amp; Light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WDISPATCH</dc:creator>
  <cp:keywords/>
  <dc:description/>
  <cp:lastModifiedBy>FPL_User</cp:lastModifiedBy>
  <cp:lastPrinted>2012-02-21T23:12:28Z</cp:lastPrinted>
  <dcterms:created xsi:type="dcterms:W3CDTF">2000-08-28T13:07:15Z</dcterms:created>
  <dcterms:modified xsi:type="dcterms:W3CDTF">2016-04-18T13:00:34Z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